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8" yWindow="65" windowWidth="15329" windowHeight="8719"/>
  </bookViews>
  <sheets>
    <sheet name="лютий  (2)" sheetId="7" r:id="rId1"/>
    <sheet name="доп груд" sheetId="1" r:id="rId2"/>
    <sheet name="доп жовт" sheetId="4" r:id="rId3"/>
    <sheet name="жовт доп" sheetId="6" r:id="rId4"/>
    <sheet name="лютий " sheetId="3" r:id="rId5"/>
  </sheets>
  <calcPr calcId="125725"/>
</workbook>
</file>

<file path=xl/calcChain.xml><?xml version="1.0" encoding="utf-8"?>
<calcChain xmlns="http://schemas.openxmlformats.org/spreadsheetml/2006/main">
  <c r="D9" i="7"/>
  <c r="N15"/>
  <c r="S15" s="1"/>
  <c r="N11"/>
  <c r="N10"/>
  <c r="T10" s="1"/>
  <c r="N19"/>
  <c r="T19" s="1"/>
  <c r="Z5"/>
  <c r="AD23"/>
  <c r="AC23"/>
  <c r="AB23"/>
  <c r="AD22"/>
  <c r="AC22"/>
  <c r="AE22" s="1"/>
  <c r="AB22"/>
  <c r="T22"/>
  <c r="S22"/>
  <c r="R22"/>
  <c r="J22"/>
  <c r="I22"/>
  <c r="H22"/>
  <c r="T11"/>
  <c r="N5"/>
  <c r="N9"/>
  <c r="R9" s="1"/>
  <c r="AD24"/>
  <c r="AC24"/>
  <c r="AE24" s="1"/>
  <c r="AB24"/>
  <c r="AD21"/>
  <c r="AC21"/>
  <c r="AB21"/>
  <c r="AD20"/>
  <c r="AC20"/>
  <c r="AE20" s="1"/>
  <c r="AB20"/>
  <c r="AD19"/>
  <c r="AC19"/>
  <c r="AB19"/>
  <c r="AD18"/>
  <c r="AC18"/>
  <c r="AE18" s="1"/>
  <c r="AB18"/>
  <c r="AD16"/>
  <c r="AC16"/>
  <c r="AB16"/>
  <c r="AD15"/>
  <c r="AC15"/>
  <c r="AE15" s="1"/>
  <c r="AB15"/>
  <c r="AD14"/>
  <c r="AC14"/>
  <c r="AB14"/>
  <c r="AD13"/>
  <c r="AC13"/>
  <c r="AE13" s="1"/>
  <c r="AB13"/>
  <c r="AD12"/>
  <c r="AC12"/>
  <c r="AB12"/>
  <c r="AD11"/>
  <c r="AC11"/>
  <c r="AE11" s="1"/>
  <c r="AB11"/>
  <c r="AD10"/>
  <c r="AC10"/>
  <c r="AB10"/>
  <c r="X9"/>
  <c r="AD8"/>
  <c r="AC8"/>
  <c r="AB8"/>
  <c r="AE8" s="1"/>
  <c r="AD7"/>
  <c r="AC7"/>
  <c r="AB7"/>
  <c r="AD6"/>
  <c r="AC6"/>
  <c r="AB6"/>
  <c r="AE6" s="1"/>
  <c r="X5"/>
  <c r="AB5" s="1"/>
  <c r="T21"/>
  <c r="S21"/>
  <c r="R21"/>
  <c r="T20"/>
  <c r="S20"/>
  <c r="R20"/>
  <c r="S19"/>
  <c r="T18"/>
  <c r="S18"/>
  <c r="R18"/>
  <c r="T16"/>
  <c r="S16"/>
  <c r="R16"/>
  <c r="T15"/>
  <c r="R15"/>
  <c r="T14"/>
  <c r="S14"/>
  <c r="R14"/>
  <c r="T13"/>
  <c r="S13"/>
  <c r="R13"/>
  <c r="T12"/>
  <c r="S12"/>
  <c r="R12"/>
  <c r="S11"/>
  <c r="T8"/>
  <c r="S8"/>
  <c r="R8"/>
  <c r="T7"/>
  <c r="S7"/>
  <c r="R7"/>
  <c r="T6"/>
  <c r="S6"/>
  <c r="R6"/>
  <c r="T5"/>
  <c r="J6"/>
  <c r="J7"/>
  <c r="J8"/>
  <c r="J10"/>
  <c r="J11"/>
  <c r="J12"/>
  <c r="J13"/>
  <c r="J14"/>
  <c r="J15"/>
  <c r="J16"/>
  <c r="J17"/>
  <c r="J18"/>
  <c r="J19"/>
  <c r="J20"/>
  <c r="J21"/>
  <c r="I6"/>
  <c r="I7"/>
  <c r="I8"/>
  <c r="I10"/>
  <c r="I11"/>
  <c r="I12"/>
  <c r="I13"/>
  <c r="I14"/>
  <c r="I15"/>
  <c r="I16"/>
  <c r="I17"/>
  <c r="I18"/>
  <c r="I19"/>
  <c r="I20"/>
  <c r="I21"/>
  <c r="H12"/>
  <c r="K12" s="1"/>
  <c r="H13"/>
  <c r="H14"/>
  <c r="K14" s="1"/>
  <c r="H15"/>
  <c r="H16"/>
  <c r="K16" s="1"/>
  <c r="H17"/>
  <c r="H18"/>
  <c r="K18" s="1"/>
  <c r="H19"/>
  <c r="H20"/>
  <c r="K20" s="1"/>
  <c r="H21"/>
  <c r="H7"/>
  <c r="H8"/>
  <c r="H10"/>
  <c r="H11"/>
  <c r="H6"/>
  <c r="D5"/>
  <c r="I5" s="1"/>
  <c r="I9"/>
  <c r="I6" i="3"/>
  <c r="I7"/>
  <c r="I8"/>
  <c r="I9"/>
  <c r="I10"/>
  <c r="I11"/>
  <c r="I12"/>
  <c r="I13"/>
  <c r="I14"/>
  <c r="I15"/>
  <c r="I16"/>
  <c r="I17"/>
  <c r="I18"/>
  <c r="I19"/>
  <c r="I20"/>
  <c r="I21"/>
  <c r="I5"/>
  <c r="D22"/>
  <c r="C22" s="1"/>
  <c r="H7"/>
  <c r="H6"/>
  <c r="K11" i="7" l="1"/>
  <c r="K8"/>
  <c r="L8" s="1"/>
  <c r="M8" s="1"/>
  <c r="T9"/>
  <c r="U18"/>
  <c r="V18" s="1"/>
  <c r="W18" s="1"/>
  <c r="U20"/>
  <c r="K22"/>
  <c r="J5"/>
  <c r="H5"/>
  <c r="K5" s="1"/>
  <c r="U7"/>
  <c r="S10"/>
  <c r="U12"/>
  <c r="U14"/>
  <c r="V14" s="1"/>
  <c r="W14" s="1"/>
  <c r="R19"/>
  <c r="AE7"/>
  <c r="AF7" s="1"/>
  <c r="AG7" s="1"/>
  <c r="AE10"/>
  <c r="AE12"/>
  <c r="AF12" s="1"/>
  <c r="AG12" s="1"/>
  <c r="AE14"/>
  <c r="AE16"/>
  <c r="AF16" s="1"/>
  <c r="AG16" s="1"/>
  <c r="AE21"/>
  <c r="U22"/>
  <c r="V22" s="1"/>
  <c r="W22" s="1"/>
  <c r="U16"/>
  <c r="R10"/>
  <c r="U10" s="1"/>
  <c r="V10" s="1"/>
  <c r="W10" s="1"/>
  <c r="AE23"/>
  <c r="AE19"/>
  <c r="AF19" s="1"/>
  <c r="AG19" s="1"/>
  <c r="AF23"/>
  <c r="L22"/>
  <c r="M22" s="1"/>
  <c r="AF22"/>
  <c r="AG22" s="1"/>
  <c r="AD5"/>
  <c r="R11"/>
  <c r="U11" s="1"/>
  <c r="V11" s="1"/>
  <c r="W11" s="1"/>
  <c r="AF10"/>
  <c r="AG10" s="1"/>
  <c r="AF14"/>
  <c r="AG14" s="1"/>
  <c r="AF18"/>
  <c r="AG18" s="1"/>
  <c r="AF20"/>
  <c r="AG20" s="1"/>
  <c r="AF24"/>
  <c r="AG24" s="1"/>
  <c r="AF6"/>
  <c r="AG6" s="1"/>
  <c r="AF8"/>
  <c r="AG8" s="1"/>
  <c r="AF11"/>
  <c r="AG11" s="1"/>
  <c r="AF13"/>
  <c r="AG13" s="1"/>
  <c r="AF15"/>
  <c r="AG15" s="1"/>
  <c r="AG17"/>
  <c r="AF21"/>
  <c r="AG21" s="1"/>
  <c r="K6"/>
  <c r="L6" s="1"/>
  <c r="M6" s="1"/>
  <c r="K10"/>
  <c r="L10" s="1"/>
  <c r="M10" s="1"/>
  <c r="K7"/>
  <c r="L7" s="1"/>
  <c r="M7" s="1"/>
  <c r="K21"/>
  <c r="L21" s="1"/>
  <c r="M21" s="1"/>
  <c r="K19"/>
  <c r="L19" s="1"/>
  <c r="M19" s="1"/>
  <c r="K17"/>
  <c r="L17" s="1"/>
  <c r="M17" s="1"/>
  <c r="K15"/>
  <c r="L15" s="1"/>
  <c r="M15" s="1"/>
  <c r="K13"/>
  <c r="L13" s="1"/>
  <c r="M13" s="1"/>
  <c r="U6"/>
  <c r="V6" s="1"/>
  <c r="W6" s="1"/>
  <c r="U8"/>
  <c r="V8" s="1"/>
  <c r="W8" s="1"/>
  <c r="U13"/>
  <c r="V13" s="1"/>
  <c r="W13" s="1"/>
  <c r="U15"/>
  <c r="V15" s="1"/>
  <c r="W15" s="1"/>
  <c r="W17"/>
  <c r="U19"/>
  <c r="V19" s="1"/>
  <c r="W19" s="1"/>
  <c r="U21"/>
  <c r="V21" s="1"/>
  <c r="W21" s="1"/>
  <c r="AC5"/>
  <c r="AB9"/>
  <c r="AD9"/>
  <c r="AC9"/>
  <c r="AE9" s="1"/>
  <c r="L11"/>
  <c r="M11" s="1"/>
  <c r="L20"/>
  <c r="M20" s="1"/>
  <c r="L18"/>
  <c r="M18" s="1"/>
  <c r="L16"/>
  <c r="M16" s="1"/>
  <c r="L14"/>
  <c r="M14" s="1"/>
  <c r="L12"/>
  <c r="M12" s="1"/>
  <c r="V7"/>
  <c r="W7" s="1"/>
  <c r="V12"/>
  <c r="W12" s="1"/>
  <c r="V16"/>
  <c r="W16" s="1"/>
  <c r="V20"/>
  <c r="W20" s="1"/>
  <c r="J9"/>
  <c r="S5"/>
  <c r="H9"/>
  <c r="K9" s="1"/>
  <c r="R5"/>
  <c r="S9"/>
  <c r="U9" s="1"/>
  <c r="H17" i="3"/>
  <c r="K6"/>
  <c r="K7"/>
  <c r="K8"/>
  <c r="K9"/>
  <c r="K10"/>
  <c r="K11"/>
  <c r="K12"/>
  <c r="K13"/>
  <c r="K14"/>
  <c r="K15"/>
  <c r="K16"/>
  <c r="K17"/>
  <c r="K18"/>
  <c r="K19"/>
  <c r="K20"/>
  <c r="K21"/>
  <c r="K5"/>
  <c r="D23"/>
  <c r="C23" s="1"/>
  <c r="E24"/>
  <c r="F24"/>
  <c r="J24"/>
  <c r="L24"/>
  <c r="M24"/>
  <c r="H21"/>
  <c r="H19"/>
  <c r="H15"/>
  <c r="H11"/>
  <c r="H10"/>
  <c r="H9"/>
  <c r="H12"/>
  <c r="H8"/>
  <c r="H16"/>
  <c r="AE5" i="7" l="1"/>
  <c r="L5"/>
  <c r="M5" s="1"/>
  <c r="AG23"/>
  <c r="U5"/>
  <c r="AF9"/>
  <c r="AG9" s="1"/>
  <c r="AF5"/>
  <c r="AG5" s="1"/>
  <c r="V9"/>
  <c r="W9" s="1"/>
  <c r="L9"/>
  <c r="M9" s="1"/>
  <c r="K24" i="3"/>
  <c r="H18"/>
  <c r="H14"/>
  <c r="V5" i="7" l="1"/>
  <c r="W5" s="1"/>
  <c r="D7" i="3"/>
  <c r="C7" s="1"/>
  <c r="H20"/>
  <c r="H30" i="4"/>
  <c r="I30"/>
  <c r="K30"/>
  <c r="E30"/>
  <c r="F30"/>
  <c r="D30"/>
  <c r="C11"/>
  <c r="C12"/>
  <c r="C13"/>
  <c r="K11"/>
  <c r="K12"/>
  <c r="K13"/>
  <c r="I11"/>
  <c r="I12"/>
  <c r="I13"/>
  <c r="K10"/>
  <c r="I10"/>
  <c r="C10"/>
  <c r="C30" s="1"/>
  <c r="K7"/>
  <c r="I7"/>
  <c r="C7"/>
  <c r="K29" l="1"/>
  <c r="K27"/>
  <c r="K26"/>
  <c r="K23"/>
  <c r="K24"/>
  <c r="K25"/>
  <c r="K22"/>
  <c r="K21"/>
  <c r="K20"/>
  <c r="K19"/>
  <c r="K17"/>
  <c r="K18"/>
  <c r="K16"/>
  <c r="K9"/>
  <c r="K14"/>
  <c r="K15"/>
  <c r="K8"/>
  <c r="C28" l="1"/>
  <c r="K8" i="1" l="1"/>
  <c r="K9"/>
  <c r="K10"/>
  <c r="K7"/>
  <c r="K22"/>
  <c r="K21"/>
  <c r="K16"/>
  <c r="K13"/>
  <c r="K12"/>
  <c r="K11"/>
  <c r="C18" i="4"/>
  <c r="B16"/>
  <c r="M30"/>
  <c r="I29"/>
  <c r="H29"/>
  <c r="B29" s="1"/>
  <c r="B28"/>
  <c r="I27"/>
  <c r="C27" s="1"/>
  <c r="I26"/>
  <c r="C26" s="1"/>
  <c r="I25"/>
  <c r="B25" s="1"/>
  <c r="H25"/>
  <c r="I24"/>
  <c r="I23"/>
  <c r="H23"/>
  <c r="C23" s="1"/>
  <c r="I22"/>
  <c r="H22"/>
  <c r="B22"/>
  <c r="I21"/>
  <c r="H21"/>
  <c r="C21" s="1"/>
  <c r="I20"/>
  <c r="H20"/>
  <c r="B20"/>
  <c r="I19"/>
  <c r="B19"/>
  <c r="I18"/>
  <c r="H18"/>
  <c r="I17"/>
  <c r="H17"/>
  <c r="C17"/>
  <c r="I16"/>
  <c r="H16"/>
  <c r="C16" s="1"/>
  <c r="I15"/>
  <c r="B15" s="1"/>
  <c r="H15"/>
  <c r="C15"/>
  <c r="I14"/>
  <c r="H14"/>
  <c r="B14" s="1"/>
  <c r="I9"/>
  <c r="B9" s="1"/>
  <c r="H9"/>
  <c r="C9"/>
  <c r="I8"/>
  <c r="H8"/>
  <c r="C8" s="1"/>
  <c r="B8"/>
  <c r="K6"/>
  <c r="I6"/>
  <c r="H6"/>
  <c r="C6"/>
  <c r="D24" i="6"/>
  <c r="E24"/>
  <c r="F24"/>
  <c r="H24"/>
  <c r="I24"/>
  <c r="K24"/>
  <c r="L24"/>
  <c r="B10"/>
  <c r="I21"/>
  <c r="B21" s="1"/>
  <c r="B22" i="1"/>
  <c r="C22"/>
  <c r="B21"/>
  <c r="I22"/>
  <c r="B28"/>
  <c r="J25"/>
  <c r="F25"/>
  <c r="D25"/>
  <c r="K24"/>
  <c r="I24"/>
  <c r="H24"/>
  <c r="C24" s="1"/>
  <c r="M24" s="1"/>
  <c r="B24" s="1"/>
  <c r="C23"/>
  <c r="B23"/>
  <c r="I21"/>
  <c r="C21"/>
  <c r="M20"/>
  <c r="K20"/>
  <c r="I20"/>
  <c r="B20" s="1"/>
  <c r="H20"/>
  <c r="C20"/>
  <c r="K19"/>
  <c r="I19"/>
  <c r="C19" s="1"/>
  <c r="M19" s="1"/>
  <c r="B19" s="1"/>
  <c r="K18"/>
  <c r="I18"/>
  <c r="H18"/>
  <c r="C18" s="1"/>
  <c r="M18" s="1"/>
  <c r="B18" s="1"/>
  <c r="K17"/>
  <c r="I17"/>
  <c r="H17"/>
  <c r="C17" s="1"/>
  <c r="M17" s="1"/>
  <c r="B17" s="1"/>
  <c r="I16"/>
  <c r="H16"/>
  <c r="C16" s="1"/>
  <c r="M16" s="1"/>
  <c r="B16" s="1"/>
  <c r="K15"/>
  <c r="I15"/>
  <c r="H15"/>
  <c r="C15" s="1"/>
  <c r="M15" s="1"/>
  <c r="B15" s="1"/>
  <c r="K14"/>
  <c r="I14"/>
  <c r="C14"/>
  <c r="M14" s="1"/>
  <c r="I13"/>
  <c r="H13"/>
  <c r="C13"/>
  <c r="M13" s="1"/>
  <c r="I12"/>
  <c r="H12"/>
  <c r="I11"/>
  <c r="H11"/>
  <c r="C11" s="1"/>
  <c r="M11" s="1"/>
  <c r="B11" s="1"/>
  <c r="I10"/>
  <c r="H10"/>
  <c r="C10" s="1"/>
  <c r="M10" s="1"/>
  <c r="B10" s="1"/>
  <c r="I9"/>
  <c r="H9"/>
  <c r="C9" s="1"/>
  <c r="M9" s="1"/>
  <c r="B9" s="1"/>
  <c r="I8"/>
  <c r="H8"/>
  <c r="C8" s="1"/>
  <c r="M8" s="1"/>
  <c r="B8" s="1"/>
  <c r="I7"/>
  <c r="H7"/>
  <c r="C7" s="1"/>
  <c r="M7" s="1"/>
  <c r="B7" s="1"/>
  <c r="K6"/>
  <c r="I6"/>
  <c r="I25" s="1"/>
  <c r="H6"/>
  <c r="H25" s="1"/>
  <c r="D6" i="3"/>
  <c r="C6" s="1"/>
  <c r="D10"/>
  <c r="C10" s="1"/>
  <c r="D11"/>
  <c r="C11" s="1"/>
  <c r="D15"/>
  <c r="C15" s="1"/>
  <c r="M24" i="6"/>
  <c r="B26"/>
  <c r="I6"/>
  <c r="I7"/>
  <c r="I8"/>
  <c r="I9"/>
  <c r="I10"/>
  <c r="I11"/>
  <c r="I12"/>
  <c r="I13"/>
  <c r="C13" s="1"/>
  <c r="B13" s="1"/>
  <c r="I14"/>
  <c r="I15"/>
  <c r="I16"/>
  <c r="I17"/>
  <c r="I18"/>
  <c r="I19"/>
  <c r="I20"/>
  <c r="B20" s="1"/>
  <c r="I23"/>
  <c r="I5"/>
  <c r="H23"/>
  <c r="C22"/>
  <c r="B22" s="1"/>
  <c r="H19"/>
  <c r="H17"/>
  <c r="C17" s="1"/>
  <c r="B17" s="1"/>
  <c r="H16"/>
  <c r="C16" s="1"/>
  <c r="B16" s="1"/>
  <c r="H15"/>
  <c r="H14"/>
  <c r="H12"/>
  <c r="H11"/>
  <c r="H10"/>
  <c r="C10" s="1"/>
  <c r="H9"/>
  <c r="H8"/>
  <c r="H7"/>
  <c r="H6"/>
  <c r="H5"/>
  <c r="B5" s="1"/>
  <c r="D8" i="3" l="1"/>
  <c r="I24"/>
  <c r="D19"/>
  <c r="C19" s="1"/>
  <c r="D17"/>
  <c r="C17" s="1"/>
  <c r="D9"/>
  <c r="C9" s="1"/>
  <c r="D20"/>
  <c r="C20" s="1"/>
  <c r="D21"/>
  <c r="C21" s="1"/>
  <c r="D18"/>
  <c r="C18" s="1"/>
  <c r="D16"/>
  <c r="C16" s="1"/>
  <c r="D14"/>
  <c r="C14" s="1"/>
  <c r="D12"/>
  <c r="C12" s="1"/>
  <c r="C20" i="4"/>
  <c r="B21"/>
  <c r="C22"/>
  <c r="B23"/>
  <c r="B26"/>
  <c r="B27"/>
  <c r="C29"/>
  <c r="C24"/>
  <c r="B24" s="1"/>
  <c r="C14"/>
  <c r="B18"/>
  <c r="C19"/>
  <c r="L30"/>
  <c r="B17"/>
  <c r="C25"/>
  <c r="B6"/>
  <c r="C21" i="6"/>
  <c r="C12"/>
  <c r="B12" s="1"/>
  <c r="C8"/>
  <c r="B8" s="1"/>
  <c r="C12" i="1"/>
  <c r="K25"/>
  <c r="M12"/>
  <c r="B13"/>
  <c r="B14"/>
  <c r="C6"/>
  <c r="C15" i="6"/>
  <c r="B15" s="1"/>
  <c r="C20"/>
  <c r="C18"/>
  <c r="B18" s="1"/>
  <c r="C14"/>
  <c r="B14" s="1"/>
  <c r="C6"/>
  <c r="B6" s="1"/>
  <c r="C23"/>
  <c r="B23" s="1"/>
  <c r="C9"/>
  <c r="B9" s="1"/>
  <c r="C11"/>
  <c r="B11" s="1"/>
  <c r="C7"/>
  <c r="B7" s="1"/>
  <c r="C19"/>
  <c r="B19" s="1"/>
  <c r="C5"/>
  <c r="H13" i="3"/>
  <c r="H5"/>
  <c r="D5" l="1"/>
  <c r="C5" s="1"/>
  <c r="H24"/>
  <c r="C8"/>
  <c r="D13"/>
  <c r="C13" s="1"/>
  <c r="B34" i="4"/>
  <c r="C25" i="1"/>
  <c r="M6"/>
  <c r="L25"/>
  <c r="B12"/>
  <c r="C24" i="6"/>
  <c r="B24"/>
  <c r="B28" s="1"/>
  <c r="D24" i="3" l="1"/>
  <c r="C24"/>
  <c r="C28" s="1"/>
  <c r="M25" i="1"/>
  <c r="B6"/>
  <c r="B25" s="1"/>
  <c r="B30" s="1"/>
</calcChain>
</file>

<file path=xl/sharedStrings.xml><?xml version="1.0" encoding="utf-8"?>
<sst xmlns="http://schemas.openxmlformats.org/spreadsheetml/2006/main" count="230" uniqueCount="79">
  <si>
    <t>За посадовими окладами</t>
  </si>
  <si>
    <t>За ранг</t>
  </si>
  <si>
    <t>З них:</t>
  </si>
  <si>
    <t>Всього:</t>
  </si>
  <si>
    <t>(тис. грн.)</t>
  </si>
  <si>
    <t>Циганкова Т.О.</t>
  </si>
  <si>
    <t>Дехтяр Б.С.</t>
  </si>
  <si>
    <t>Кочин Є.О.</t>
  </si>
  <si>
    <t>Мотулевська М.М.</t>
  </si>
  <si>
    <t>Паніна Н.В.</t>
  </si>
  <si>
    <t>Крисенко Е.О.</t>
  </si>
  <si>
    <t>Торішний І.</t>
  </si>
  <si>
    <t>Заборська А.</t>
  </si>
  <si>
    <t>Соляник О.Ю.</t>
  </si>
  <si>
    <t>Жмарьов П.Б.</t>
  </si>
  <si>
    <t>Матвейко Т.Г.</t>
  </si>
  <si>
    <t>Моцарь О.І.</t>
  </si>
  <si>
    <t>Мусієнко Ю.О.</t>
  </si>
  <si>
    <t>Гончарова К.</t>
  </si>
  <si>
    <t>Рогівець П.О.</t>
  </si>
  <si>
    <t>мат допомога на оздоровлення</t>
  </si>
  <si>
    <t>Писаренко Є.М.</t>
  </si>
  <si>
    <t>ФОП на місяць</t>
  </si>
  <si>
    <t>ПІБ</t>
  </si>
  <si>
    <t>доплата за вислугу років</t>
  </si>
  <si>
    <t>вислуга років%</t>
  </si>
  <si>
    <t>вислуга років %</t>
  </si>
  <si>
    <t>заміщення</t>
  </si>
  <si>
    <t>Паніна А.В.</t>
  </si>
  <si>
    <t>% премії</t>
  </si>
  <si>
    <t>100% персон надбавка</t>
  </si>
  <si>
    <t>Деталізація  фонду оплати праці за 2017 рік (жовтень-грудень)</t>
  </si>
  <si>
    <t>ФОП на жовтень-грудень 2017</t>
  </si>
  <si>
    <t>соц-побутова допомога (серпень-вересень)</t>
  </si>
  <si>
    <t>соц-побут допомога (жовтень-листопад)</t>
  </si>
  <si>
    <t>сума премії</t>
  </si>
  <si>
    <t>( грн.)</t>
  </si>
  <si>
    <t>ФОП на жовтень-грудень 2018</t>
  </si>
  <si>
    <t xml:space="preserve">ФОП на 3 міс. </t>
  </si>
  <si>
    <t>різний % премії</t>
  </si>
  <si>
    <t xml:space="preserve">ФОП до кінця року.   </t>
  </si>
  <si>
    <t>Стешенко І.А.</t>
  </si>
  <si>
    <t xml:space="preserve">залишок </t>
  </si>
  <si>
    <t>(грн.)</t>
  </si>
  <si>
    <t>з/плата  за місяць</t>
  </si>
  <si>
    <t>заст нач-ка</t>
  </si>
  <si>
    <t>зав сектору кадрів</t>
  </si>
  <si>
    <t>головний спец</t>
  </si>
  <si>
    <t>провідний спец</t>
  </si>
  <si>
    <t>Деталізація  фонду оплати праці за вакантними посадами</t>
  </si>
  <si>
    <t>Хмура С.Г.</t>
  </si>
  <si>
    <t>№ з/п</t>
  </si>
  <si>
    <t>Ляшенко Е.О.</t>
  </si>
  <si>
    <t>соц-побу тмат допомога</t>
  </si>
  <si>
    <t>мат допомога на оздоровл</t>
  </si>
  <si>
    <t>економія фонду</t>
  </si>
  <si>
    <t>Деталізація  фонду оплати праці на лютий 2019 рік (ТУ )</t>
  </si>
  <si>
    <t>сума премії 30%</t>
  </si>
  <si>
    <t>ФОП  02.2019</t>
  </si>
  <si>
    <t>Барбара А.</t>
  </si>
  <si>
    <t>250% персон надбавка</t>
  </si>
  <si>
    <t>посада</t>
  </si>
  <si>
    <t>оклад</t>
  </si>
  <si>
    <t>відпрацьовано днів по табелю</t>
  </si>
  <si>
    <t>нарахована заробітна плата</t>
  </si>
  <si>
    <t>утримання</t>
  </si>
  <si>
    <t>начальник управління</t>
  </si>
  <si>
    <t>начальник відділу</t>
  </si>
  <si>
    <t>зав.сектором</t>
  </si>
  <si>
    <t>головний спеціаліст</t>
  </si>
  <si>
    <t>провідний спеціаліст</t>
  </si>
  <si>
    <t>надбавка за інтенсивність праці</t>
  </si>
  <si>
    <t>виплачена заробітна плата</t>
  </si>
  <si>
    <t xml:space="preserve">ЗАРОБІТНА ПЛАТА СІЧЕНЬ - БЕРЕЗЕНЬ 2020 РОКУ </t>
  </si>
  <si>
    <t xml:space="preserve">ЛЮТИЙ </t>
  </si>
  <si>
    <t>СІЧЕНЬ</t>
  </si>
  <si>
    <t>БЕРЕЗЕНЬ</t>
  </si>
  <si>
    <t>Шевченко Ю.О.</t>
  </si>
  <si>
    <t>Степанченко Ю.О.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</si>
</sst>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wrapText="1"/>
    </xf>
    <xf numFmtId="164" fontId="5" fillId="0" borderId="1" xfId="0" applyNumberFormat="1" applyFont="1" applyBorder="1"/>
    <xf numFmtId="164" fontId="4" fillId="0" borderId="1" xfId="0" applyNumberFormat="1" applyFont="1" applyBorder="1"/>
    <xf numFmtId="2" fontId="6" fillId="0" borderId="0" xfId="0" applyNumberFormat="1" applyFont="1"/>
    <xf numFmtId="164" fontId="4" fillId="0" borderId="0" xfId="0" applyNumberFormat="1" applyFont="1" applyFill="1" applyBorder="1"/>
    <xf numFmtId="0" fontId="7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right"/>
    </xf>
    <xf numFmtId="164" fontId="8" fillId="0" borderId="0" xfId="0" applyNumberFormat="1" applyFont="1"/>
    <xf numFmtId="0" fontId="8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9" fillId="0" borderId="1" xfId="0" applyNumberFormat="1" applyFont="1" applyBorder="1"/>
    <xf numFmtId="164" fontId="10" fillId="0" borderId="1" xfId="0" applyNumberFormat="1" applyFont="1" applyBorder="1"/>
    <xf numFmtId="3" fontId="11" fillId="0" borderId="1" xfId="0" applyNumberFormat="1" applyFont="1" applyBorder="1"/>
    <xf numFmtId="3" fontId="12" fillId="0" borderId="1" xfId="0" applyNumberFormat="1" applyFont="1" applyBorder="1"/>
    <xf numFmtId="3" fontId="13" fillId="0" borderId="1" xfId="0" applyNumberFormat="1" applyFont="1" applyBorder="1"/>
    <xf numFmtId="0" fontId="4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/>
    <xf numFmtId="164" fontId="14" fillId="0" borderId="1" xfId="0" applyNumberFormat="1" applyFont="1" applyBorder="1"/>
    <xf numFmtId="0" fontId="0" fillId="0" borderId="0" xfId="0" applyBorder="1" applyAlignment="1">
      <alignment horizontal="right"/>
    </xf>
    <xf numFmtId="0" fontId="0" fillId="0" borderId="0" xfId="0" applyBorder="1"/>
    <xf numFmtId="0" fontId="7" fillId="0" borderId="0" xfId="0" applyFont="1" applyBorder="1"/>
    <xf numFmtId="164" fontId="0" fillId="0" borderId="0" xfId="0" applyNumberFormat="1"/>
    <xf numFmtId="164" fontId="8" fillId="0" borderId="0" xfId="0" applyNumberFormat="1" applyFont="1" applyAlignment="1">
      <alignment horizontal="right"/>
    </xf>
    <xf numFmtId="164" fontId="4" fillId="0" borderId="8" xfId="0" applyNumberFormat="1" applyFont="1" applyBorder="1"/>
    <xf numFmtId="164" fontId="15" fillId="0" borderId="1" xfId="0" applyNumberFormat="1" applyFont="1" applyBorder="1"/>
    <xf numFmtId="164" fontId="16" fillId="0" borderId="1" xfId="0" applyNumberFormat="1" applyFont="1" applyBorder="1"/>
    <xf numFmtId="2" fontId="17" fillId="0" borderId="0" xfId="0" applyNumberFormat="1" applyFont="1"/>
    <xf numFmtId="2" fontId="17" fillId="0" borderId="1" xfId="0" applyNumberFormat="1" applyFont="1" applyBorder="1"/>
    <xf numFmtId="3" fontId="18" fillId="0" borderId="1" xfId="0" applyNumberFormat="1" applyFont="1" applyBorder="1"/>
    <xf numFmtId="0" fontId="8" fillId="0" borderId="0" xfId="0" applyFont="1"/>
    <xf numFmtId="164" fontId="19" fillId="0" borderId="1" xfId="0" applyNumberFormat="1" applyFont="1" applyBorder="1"/>
    <xf numFmtId="164" fontId="20" fillId="0" borderId="1" xfId="0" applyNumberFormat="1" applyFont="1" applyBorder="1"/>
    <xf numFmtId="164" fontId="21" fillId="0" borderId="1" xfId="0" applyNumberFormat="1" applyFont="1" applyBorder="1"/>
    <xf numFmtId="2" fontId="22" fillId="0" borderId="0" xfId="0" applyNumberFormat="1" applyFont="1"/>
    <xf numFmtId="2" fontId="22" fillId="0" borderId="1" xfId="0" applyNumberFormat="1" applyFont="1" applyBorder="1"/>
    <xf numFmtId="3" fontId="23" fillId="0" borderId="1" xfId="0" applyNumberFormat="1" applyFont="1" applyBorder="1"/>
    <xf numFmtId="0" fontId="0" fillId="0" borderId="11" xfId="0" applyBorder="1"/>
    <xf numFmtId="0" fontId="1" fillId="0" borderId="12" xfId="0" applyFont="1" applyBorder="1" applyAlignment="1">
      <alignment wrapText="1"/>
    </xf>
    <xf numFmtId="0" fontId="5" fillId="0" borderId="2" xfId="0" applyFont="1" applyBorder="1"/>
    <xf numFmtId="0" fontId="5" fillId="0" borderId="13" xfId="0" applyFont="1" applyBorder="1"/>
    <xf numFmtId="0" fontId="5" fillId="0" borderId="14" xfId="0" applyFont="1" applyBorder="1"/>
    <xf numFmtId="0" fontId="4" fillId="0" borderId="0" xfId="0" applyFont="1" applyFill="1" applyBorder="1" applyAlignment="1">
      <alignment horizontal="center" vertical="center" wrapText="1"/>
    </xf>
    <xf numFmtId="4" fontId="0" fillId="0" borderId="0" xfId="0" applyNumberFormat="1"/>
    <xf numFmtId="164" fontId="5" fillId="0" borderId="4" xfId="0" applyNumberFormat="1" applyFont="1" applyBorder="1"/>
    <xf numFmtId="164" fontId="5" fillId="0" borderId="16" xfId="0" applyNumberFormat="1" applyFont="1" applyBorder="1"/>
    <xf numFmtId="164" fontId="5" fillId="0" borderId="17" xfId="0" applyNumberFormat="1" applyFont="1" applyBorder="1"/>
    <xf numFmtId="164" fontId="5" fillId="0" borderId="7" xfId="0" applyNumberFormat="1" applyFont="1" applyBorder="1"/>
    <xf numFmtId="3" fontId="12" fillId="0" borderId="7" xfId="0" applyNumberFormat="1" applyFont="1" applyBorder="1"/>
    <xf numFmtId="4" fontId="5" fillId="0" borderId="10" xfId="0" applyNumberFormat="1" applyFont="1" applyBorder="1"/>
    <xf numFmtId="0" fontId="5" fillId="0" borderId="10" xfId="0" applyFont="1" applyBorder="1"/>
    <xf numFmtId="0" fontId="4" fillId="0" borderId="18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wrapText="1"/>
    </xf>
    <xf numFmtId="0" fontId="0" fillId="0" borderId="24" xfId="0" applyBorder="1"/>
    <xf numFmtId="0" fontId="0" fillId="0" borderId="14" xfId="0" applyBorder="1"/>
    <xf numFmtId="0" fontId="0" fillId="0" borderId="25" xfId="0" applyBorder="1"/>
    <xf numFmtId="0" fontId="0" fillId="0" borderId="15" xfId="0" applyBorder="1"/>
    <xf numFmtId="0" fontId="0" fillId="0" borderId="26" xfId="0" applyBorder="1"/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164" fontId="5" fillId="2" borderId="1" xfId="0" applyNumberFormat="1" applyFont="1" applyFill="1" applyBorder="1"/>
    <xf numFmtId="0" fontId="0" fillId="2" borderId="14" xfId="0" applyFill="1" applyBorder="1"/>
    <xf numFmtId="164" fontId="5" fillId="2" borderId="4" xfId="0" applyNumberFormat="1" applyFont="1" applyFill="1" applyBorder="1"/>
    <xf numFmtId="3" fontId="12" fillId="2" borderId="1" xfId="0" applyNumberFormat="1" applyFont="1" applyFill="1" applyBorder="1"/>
    <xf numFmtId="0" fontId="5" fillId="2" borderId="2" xfId="0" applyFont="1" applyFill="1" applyBorder="1"/>
    <xf numFmtId="0" fontId="0" fillId="2" borderId="0" xfId="0" applyFill="1"/>
    <xf numFmtId="2" fontId="0" fillId="0" borderId="0" xfId="0" applyNumberFormat="1"/>
    <xf numFmtId="2" fontId="9" fillId="0" borderId="7" xfId="0" applyNumberFormat="1" applyFont="1" applyBorder="1"/>
    <xf numFmtId="3" fontId="4" fillId="0" borderId="7" xfId="0" applyNumberFormat="1" applyFont="1" applyBorder="1"/>
    <xf numFmtId="4" fontId="8" fillId="0" borderId="0" xfId="0" applyNumberFormat="1" applyFont="1"/>
    <xf numFmtId="2" fontId="24" fillId="0" borderId="0" xfId="0" applyNumberFormat="1" applyFont="1"/>
    <xf numFmtId="164" fontId="5" fillId="0" borderId="30" xfId="0" applyNumberFormat="1" applyFont="1" applyBorder="1"/>
    <xf numFmtId="3" fontId="12" fillId="0" borderId="30" xfId="0" applyNumberFormat="1" applyFont="1" applyBorder="1"/>
    <xf numFmtId="0" fontId="5" fillId="0" borderId="31" xfId="0" applyFont="1" applyBorder="1"/>
    <xf numFmtId="0" fontId="5" fillId="0" borderId="25" xfId="0" applyFont="1" applyBorder="1"/>
    <xf numFmtId="164" fontId="5" fillId="0" borderId="32" xfId="0" applyNumberFormat="1" applyFont="1" applyBorder="1"/>
    <xf numFmtId="2" fontId="4" fillId="0" borderId="9" xfId="0" applyNumberFormat="1" applyFont="1" applyBorder="1"/>
    <xf numFmtId="0" fontId="0" fillId="0" borderId="12" xfId="0" applyBorder="1"/>
    <xf numFmtId="164" fontId="5" fillId="0" borderId="6" xfId="0" applyNumberFormat="1" applyFont="1" applyBorder="1"/>
    <xf numFmtId="3" fontId="12" fillId="0" borderId="6" xfId="0" applyNumberFormat="1" applyFont="1" applyBorder="1"/>
    <xf numFmtId="0" fontId="5" fillId="0" borderId="33" xfId="0" applyFont="1" applyBorder="1"/>
    <xf numFmtId="0" fontId="5" fillId="0" borderId="34" xfId="0" applyFont="1" applyBorder="1"/>
    <xf numFmtId="0" fontId="3" fillId="0" borderId="0" xfId="0" applyFont="1" applyAlignment="1">
      <alignment horizontal="center"/>
    </xf>
    <xf numFmtId="0" fontId="1" fillId="0" borderId="11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4" fillId="0" borderId="19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25" fillId="0" borderId="0" xfId="0" applyFont="1"/>
    <xf numFmtId="0" fontId="13" fillId="0" borderId="0" xfId="0" applyFont="1" applyAlignment="1">
      <alignment horizontal="center"/>
    </xf>
    <xf numFmtId="0" fontId="25" fillId="2" borderId="0" xfId="0" applyFont="1" applyFill="1"/>
    <xf numFmtId="0" fontId="26" fillId="2" borderId="0" xfId="0" applyFont="1" applyFill="1"/>
    <xf numFmtId="0" fontId="25" fillId="0" borderId="0" xfId="0" applyFont="1" applyBorder="1"/>
    <xf numFmtId="0" fontId="25" fillId="2" borderId="0" xfId="0" applyFont="1" applyFill="1" applyBorder="1"/>
    <xf numFmtId="0" fontId="26" fillId="2" borderId="0" xfId="0" applyFont="1" applyFill="1" applyBorder="1"/>
    <xf numFmtId="0" fontId="25" fillId="0" borderId="1" xfId="0" applyFont="1" applyBorder="1" applyAlignment="1">
      <alignment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25" fillId="0" borderId="7" xfId="0" applyFont="1" applyBorder="1"/>
    <xf numFmtId="0" fontId="11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26" fillId="2" borderId="1" xfId="0" applyFont="1" applyFill="1" applyBorder="1" applyAlignment="1">
      <alignment wrapText="1"/>
    </xf>
    <xf numFmtId="0" fontId="25" fillId="2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25" fillId="0" borderId="1" xfId="0" applyFont="1" applyBorder="1"/>
    <xf numFmtId="164" fontId="11" fillId="0" borderId="1" xfId="0" applyNumberFormat="1" applyFont="1" applyBorder="1"/>
    <xf numFmtId="3" fontId="11" fillId="0" borderId="1" xfId="0" applyNumberFormat="1" applyFont="1" applyBorder="1" applyAlignment="1">
      <alignment wrapText="1"/>
    </xf>
    <xf numFmtId="2" fontId="27" fillId="0" borderId="1" xfId="0" applyNumberFormat="1" applyFont="1" applyBorder="1"/>
    <xf numFmtId="1" fontId="25" fillId="0" borderId="1" xfId="0" applyNumberFormat="1" applyFont="1" applyBorder="1"/>
    <xf numFmtId="1" fontId="11" fillId="0" borderId="1" xfId="0" applyNumberFormat="1" applyFont="1" applyBorder="1"/>
    <xf numFmtId="4" fontId="11" fillId="0" borderId="1" xfId="0" applyNumberFormat="1" applyFont="1" applyBorder="1"/>
    <xf numFmtId="2" fontId="11" fillId="2" borderId="1" xfId="0" applyNumberFormat="1" applyFont="1" applyFill="1" applyBorder="1"/>
    <xf numFmtId="2" fontId="11" fillId="0" borderId="1" xfId="0" applyNumberFormat="1" applyFont="1" applyBorder="1"/>
    <xf numFmtId="2" fontId="28" fillId="2" borderId="1" xfId="0" applyNumberFormat="1" applyFont="1" applyFill="1" applyBorder="1"/>
    <xf numFmtId="4" fontId="25" fillId="0" borderId="1" xfId="0" applyNumberFormat="1" applyFont="1" applyBorder="1"/>
    <xf numFmtId="0" fontId="25" fillId="2" borderId="1" xfId="0" applyFont="1" applyFill="1" applyBorder="1"/>
    <xf numFmtId="164" fontId="11" fillId="2" borderId="1" xfId="0" applyNumberFormat="1" applyFont="1" applyFill="1" applyBorder="1"/>
    <xf numFmtId="4" fontId="11" fillId="2" borderId="1" xfId="0" applyNumberFormat="1" applyFont="1" applyFill="1" applyBorder="1"/>
    <xf numFmtId="3" fontId="11" fillId="2" borderId="1" xfId="0" applyNumberFormat="1" applyFont="1" applyFill="1" applyBorder="1"/>
    <xf numFmtId="164" fontId="25" fillId="0" borderId="0" xfId="0" applyNumberFormat="1" applyFont="1"/>
    <xf numFmtId="0" fontId="25" fillId="0" borderId="35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46"/>
  <sheetViews>
    <sheetView tabSelected="1" workbookViewId="0">
      <selection activeCell="L2" sqref="L2"/>
    </sheetView>
  </sheetViews>
  <sheetFormatPr defaultRowHeight="13.1"/>
  <cols>
    <col min="1" max="1" width="3.5546875" style="104" customWidth="1"/>
    <col min="2" max="2" width="17.6640625" style="104" customWidth="1"/>
    <col min="3" max="3" width="13.6640625" style="104" customWidth="1"/>
    <col min="4" max="4" width="12.109375" style="104" customWidth="1"/>
    <col min="5" max="5" width="8.33203125" style="125" customWidth="1"/>
    <col min="6" max="6" width="9.33203125" style="104" customWidth="1"/>
    <col min="7" max="7" width="8.44140625" style="104" hidden="1" customWidth="1"/>
    <col min="8" max="8" width="10.44140625" style="104" customWidth="1"/>
    <col min="9" max="9" width="11.33203125" style="104" customWidth="1"/>
    <col min="10" max="10" width="10.5546875" style="104" customWidth="1"/>
    <col min="11" max="11" width="10.33203125" style="106" customWidth="1"/>
    <col min="12" max="12" width="10" style="104" customWidth="1"/>
    <col min="13" max="13" width="10" style="107" customWidth="1"/>
    <col min="14" max="14" width="10.33203125" style="104" customWidth="1"/>
    <col min="15" max="16" width="8.88671875" style="104" customWidth="1"/>
    <col min="17" max="17" width="8.88671875" style="104" hidden="1" customWidth="1"/>
    <col min="18" max="18" width="8.88671875" style="104" customWidth="1"/>
    <col min="19" max="19" width="9.5546875" style="104" customWidth="1"/>
    <col min="20" max="20" width="8.88671875" style="104" customWidth="1"/>
    <col min="21" max="21" width="10.6640625" style="106" customWidth="1"/>
    <col min="22" max="22" width="8.88671875" style="104" customWidth="1"/>
    <col min="23" max="23" width="9.88671875" style="106" customWidth="1"/>
    <col min="24" max="24" width="9.88671875" style="104" customWidth="1"/>
    <col min="25" max="26" width="8.88671875" style="104"/>
    <col min="27" max="27" width="0" style="104" hidden="1" customWidth="1"/>
    <col min="28" max="28" width="8.88671875" style="104"/>
    <col min="29" max="29" width="10.6640625" style="104" customWidth="1"/>
    <col min="30" max="30" width="8.88671875" style="104"/>
    <col min="31" max="31" width="10" style="106" customWidth="1"/>
    <col min="32" max="32" width="8.88671875" style="104"/>
    <col min="33" max="33" width="10.109375" style="106" customWidth="1"/>
    <col min="34" max="16384" width="8.88671875" style="104"/>
  </cols>
  <sheetData>
    <row r="1" spans="1:34">
      <c r="B1" s="105" t="s">
        <v>73</v>
      </c>
      <c r="C1" s="105"/>
      <c r="D1" s="105"/>
      <c r="E1" s="105"/>
      <c r="F1" s="105"/>
      <c r="G1" s="105"/>
      <c r="H1" s="105"/>
      <c r="I1" s="105"/>
      <c r="J1" s="105"/>
    </row>
    <row r="2" spans="1:34" s="108" customFormat="1">
      <c r="K2" s="109"/>
      <c r="M2" s="110"/>
      <c r="U2" s="109"/>
      <c r="W2" s="109"/>
      <c r="AE2" s="109"/>
      <c r="AG2" s="109"/>
    </row>
    <row r="3" spans="1:34" s="117" customFormat="1" ht="18" customHeight="1">
      <c r="A3" s="111" t="s">
        <v>51</v>
      </c>
      <c r="B3" s="112" t="s">
        <v>23</v>
      </c>
      <c r="C3" s="113" t="s">
        <v>61</v>
      </c>
      <c r="D3" s="113" t="s">
        <v>62</v>
      </c>
      <c r="E3" s="114" t="s">
        <v>75</v>
      </c>
      <c r="F3" s="115"/>
      <c r="G3" s="115"/>
      <c r="H3" s="115"/>
      <c r="I3" s="115"/>
      <c r="J3" s="115"/>
      <c r="K3" s="115"/>
      <c r="L3" s="115"/>
      <c r="M3" s="116"/>
      <c r="N3" s="113" t="s">
        <v>62</v>
      </c>
      <c r="O3" s="114" t="s">
        <v>74</v>
      </c>
      <c r="P3" s="115"/>
      <c r="Q3" s="115"/>
      <c r="R3" s="115"/>
      <c r="S3" s="115"/>
      <c r="T3" s="115"/>
      <c r="U3" s="115"/>
      <c r="V3" s="115"/>
      <c r="W3" s="116"/>
      <c r="X3" s="113" t="s">
        <v>62</v>
      </c>
      <c r="Y3" s="114" t="s">
        <v>76</v>
      </c>
      <c r="Z3" s="115"/>
      <c r="AA3" s="115"/>
      <c r="AB3" s="115"/>
      <c r="AC3" s="115"/>
      <c r="AD3" s="115"/>
      <c r="AE3" s="115"/>
      <c r="AF3" s="115"/>
      <c r="AG3" s="116"/>
    </row>
    <row r="4" spans="1:34" s="125" customFormat="1" ht="79.55" customHeight="1">
      <c r="A4" s="111"/>
      <c r="B4" s="118"/>
      <c r="C4" s="119"/>
      <c r="D4" s="119"/>
      <c r="E4" s="118" t="s">
        <v>63</v>
      </c>
      <c r="F4" s="118" t="s">
        <v>1</v>
      </c>
      <c r="G4" s="118" t="s">
        <v>26</v>
      </c>
      <c r="H4" s="118" t="s">
        <v>24</v>
      </c>
      <c r="I4" s="118" t="s">
        <v>71</v>
      </c>
      <c r="J4" s="118" t="s">
        <v>57</v>
      </c>
      <c r="K4" s="120" t="s">
        <v>64</v>
      </c>
      <c r="L4" s="121" t="s">
        <v>65</v>
      </c>
      <c r="M4" s="122" t="s">
        <v>72</v>
      </c>
      <c r="N4" s="119"/>
      <c r="O4" s="118" t="s">
        <v>63</v>
      </c>
      <c r="P4" s="118" t="s">
        <v>1</v>
      </c>
      <c r="Q4" s="118" t="s">
        <v>26</v>
      </c>
      <c r="R4" s="118" t="s">
        <v>24</v>
      </c>
      <c r="S4" s="118" t="s">
        <v>71</v>
      </c>
      <c r="T4" s="118" t="s">
        <v>57</v>
      </c>
      <c r="U4" s="120" t="s">
        <v>64</v>
      </c>
      <c r="V4" s="121" t="s">
        <v>65</v>
      </c>
      <c r="W4" s="123" t="s">
        <v>72</v>
      </c>
      <c r="X4" s="119"/>
      <c r="Y4" s="118" t="s">
        <v>63</v>
      </c>
      <c r="Z4" s="118" t="s">
        <v>1</v>
      </c>
      <c r="AA4" s="118" t="s">
        <v>26</v>
      </c>
      <c r="AB4" s="118" t="s">
        <v>24</v>
      </c>
      <c r="AC4" s="118" t="s">
        <v>71</v>
      </c>
      <c r="AD4" s="118" t="s">
        <v>57</v>
      </c>
      <c r="AE4" s="120" t="s">
        <v>64</v>
      </c>
      <c r="AF4" s="121" t="s">
        <v>65</v>
      </c>
      <c r="AG4" s="123" t="s">
        <v>72</v>
      </c>
      <c r="AH4" s="124"/>
    </row>
    <row r="5" spans="1:34" s="125" customFormat="1" ht="26.2">
      <c r="A5" s="125">
        <v>1</v>
      </c>
      <c r="B5" s="126" t="s">
        <v>5</v>
      </c>
      <c r="C5" s="127" t="s">
        <v>66</v>
      </c>
      <c r="D5" s="128">
        <f>(15220/21)*E5</f>
        <v>15220.000000000002</v>
      </c>
      <c r="E5" s="129">
        <v>21</v>
      </c>
      <c r="F5" s="126">
        <v>600</v>
      </c>
      <c r="G5" s="130">
        <v>50</v>
      </c>
      <c r="H5" s="131">
        <f>D5*G5/100</f>
        <v>7610.0000000000009</v>
      </c>
      <c r="I5" s="126">
        <f>D5*100/100</f>
        <v>15220.000000000002</v>
      </c>
      <c r="J5" s="131">
        <f>D5*30/100</f>
        <v>4566.0000000000009</v>
      </c>
      <c r="K5" s="132">
        <f>D5+F5+H5+I5+J5</f>
        <v>43216.000000000007</v>
      </c>
      <c r="L5" s="133">
        <f>K5*19.5/100</f>
        <v>8427.1200000000008</v>
      </c>
      <c r="M5" s="134">
        <f>K5-L5</f>
        <v>34788.880000000005</v>
      </c>
      <c r="N5" s="128">
        <f>(15220/20)*O5</f>
        <v>12937</v>
      </c>
      <c r="O5" s="129">
        <v>17</v>
      </c>
      <c r="P5" s="126">
        <v>510</v>
      </c>
      <c r="Q5" s="130">
        <v>50</v>
      </c>
      <c r="R5" s="131">
        <f>N5*Q5/100</f>
        <v>6468.5</v>
      </c>
      <c r="S5" s="126">
        <f>N5*100/100</f>
        <v>12937</v>
      </c>
      <c r="T5" s="131">
        <f>N5*30/100</f>
        <v>3881.1</v>
      </c>
      <c r="U5" s="132">
        <f>N5+P5+R5+S5+T5</f>
        <v>36733.599999999999</v>
      </c>
      <c r="V5" s="133">
        <f>U5*19.5/100</f>
        <v>7163.0519999999997</v>
      </c>
      <c r="W5" s="132">
        <f>U5-V5</f>
        <v>29570.547999999999</v>
      </c>
      <c r="X5" s="128">
        <f>(15220/21)*Y5</f>
        <v>11596.190476190477</v>
      </c>
      <c r="Y5" s="129">
        <v>16</v>
      </c>
      <c r="Z5" s="131">
        <f>600/21*16</f>
        <v>457.14285714285717</v>
      </c>
      <c r="AA5" s="130">
        <v>50</v>
      </c>
      <c r="AB5" s="131">
        <f>X5*AA5/100</f>
        <v>5798.0952380952394</v>
      </c>
      <c r="AC5" s="126">
        <f>X5*100/100</f>
        <v>11596.190476190479</v>
      </c>
      <c r="AD5" s="131">
        <f>X5*30/100</f>
        <v>3478.8571428571431</v>
      </c>
      <c r="AE5" s="132">
        <f>X5+Z5+AB5+AC5+AD5</f>
        <v>32926.476190476198</v>
      </c>
      <c r="AF5" s="133">
        <f>AE5*19.5/100</f>
        <v>6420.6628571428591</v>
      </c>
      <c r="AG5" s="132">
        <f>AE5-AF5</f>
        <v>26505.813333333339</v>
      </c>
      <c r="AH5" s="135"/>
    </row>
    <row r="6" spans="1:34" s="125" customFormat="1">
      <c r="A6" s="125">
        <v>2</v>
      </c>
      <c r="B6" s="126" t="s">
        <v>41</v>
      </c>
      <c r="C6" s="127" t="s">
        <v>67</v>
      </c>
      <c r="D6" s="128">
        <v>8790</v>
      </c>
      <c r="E6" s="129">
        <v>21</v>
      </c>
      <c r="F6" s="126">
        <v>700</v>
      </c>
      <c r="G6" s="130">
        <v>48</v>
      </c>
      <c r="H6" s="131">
        <f>D6*G6/100</f>
        <v>4219.2</v>
      </c>
      <c r="I6" s="126">
        <f>D6*100/100</f>
        <v>8790</v>
      </c>
      <c r="J6" s="131">
        <f>D6*30/100</f>
        <v>2637</v>
      </c>
      <c r="K6" s="132">
        <f>D6+F6+H6+I6+J6</f>
        <v>25136.2</v>
      </c>
      <c r="L6" s="133">
        <f t="shared" ref="L6:L22" si="0">K6*19.5/100</f>
        <v>4901.5590000000002</v>
      </c>
      <c r="M6" s="134">
        <f t="shared" ref="M6:M21" si="1">K6-L6</f>
        <v>20234.641</v>
      </c>
      <c r="N6" s="128">
        <v>8790</v>
      </c>
      <c r="O6" s="129">
        <v>20</v>
      </c>
      <c r="P6" s="126">
        <v>700</v>
      </c>
      <c r="Q6" s="130">
        <v>48</v>
      </c>
      <c r="R6" s="131">
        <f>N6*Q6/100</f>
        <v>4219.2</v>
      </c>
      <c r="S6" s="126">
        <f t="shared" ref="S6:S21" si="2">N6*100/100</f>
        <v>8790</v>
      </c>
      <c r="T6" s="131">
        <f t="shared" ref="T6:T21" si="3">N6*30/100</f>
        <v>2637</v>
      </c>
      <c r="U6" s="132">
        <f t="shared" ref="U6:U21" si="4">N6+P6+R6+S6+T6</f>
        <v>25136.2</v>
      </c>
      <c r="V6" s="133">
        <f t="shared" ref="V6:V22" si="5">U6*19.5/100</f>
        <v>4901.5590000000002</v>
      </c>
      <c r="W6" s="132">
        <f t="shared" ref="W6:W21" si="6">U6-V6</f>
        <v>20234.641</v>
      </c>
      <c r="X6" s="128">
        <v>8790</v>
      </c>
      <c r="Y6" s="129">
        <v>21</v>
      </c>
      <c r="Z6" s="126">
        <v>700</v>
      </c>
      <c r="AA6" s="130">
        <v>48</v>
      </c>
      <c r="AB6" s="131">
        <f>X6*AA6/100</f>
        <v>4219.2</v>
      </c>
      <c r="AC6" s="126">
        <f t="shared" ref="AC6:AC24" si="7">X6*100/100</f>
        <v>8790</v>
      </c>
      <c r="AD6" s="131">
        <f t="shared" ref="AD6:AD24" si="8">X6*30/100</f>
        <v>2637</v>
      </c>
      <c r="AE6" s="132">
        <f t="shared" ref="AE6:AE24" si="9">X6+Z6+AB6+AC6+AD6</f>
        <v>25136.2</v>
      </c>
      <c r="AF6" s="133">
        <f t="shared" ref="AF6:AF24" si="10">AE6*19.5/100</f>
        <v>4901.5590000000002</v>
      </c>
      <c r="AG6" s="132">
        <f t="shared" ref="AG6:AG24" si="11">AE6-AF6</f>
        <v>20234.641</v>
      </c>
    </row>
    <row r="7" spans="1:34" s="125" customFormat="1">
      <c r="A7" s="125">
        <v>3</v>
      </c>
      <c r="B7" s="126" t="s">
        <v>50</v>
      </c>
      <c r="C7" s="127" t="s">
        <v>68</v>
      </c>
      <c r="D7" s="128">
        <v>7610</v>
      </c>
      <c r="E7" s="129">
        <v>21</v>
      </c>
      <c r="F7" s="126">
        <v>500</v>
      </c>
      <c r="G7" s="130">
        <v>33</v>
      </c>
      <c r="H7" s="131">
        <f>D7*G7/100</f>
        <v>2511.3000000000002</v>
      </c>
      <c r="I7" s="126">
        <f>D7*100/100</f>
        <v>7610</v>
      </c>
      <c r="J7" s="131">
        <f>D7*30/100</f>
        <v>2283</v>
      </c>
      <c r="K7" s="132">
        <f>D7+F7+H7+I7+J7</f>
        <v>20514.3</v>
      </c>
      <c r="L7" s="133">
        <f t="shared" si="0"/>
        <v>4000.2884999999997</v>
      </c>
      <c r="M7" s="134">
        <f t="shared" si="1"/>
        <v>16514.011500000001</v>
      </c>
      <c r="N7" s="128">
        <v>7610</v>
      </c>
      <c r="O7" s="129">
        <v>20</v>
      </c>
      <c r="P7" s="126">
        <v>500</v>
      </c>
      <c r="Q7" s="130">
        <v>33</v>
      </c>
      <c r="R7" s="131">
        <f t="shared" ref="R7:R21" si="12">N7*Q7/100</f>
        <v>2511.3000000000002</v>
      </c>
      <c r="S7" s="126">
        <f t="shared" si="2"/>
        <v>7610</v>
      </c>
      <c r="T7" s="131">
        <f t="shared" si="3"/>
        <v>2283</v>
      </c>
      <c r="U7" s="132">
        <f t="shared" si="4"/>
        <v>20514.3</v>
      </c>
      <c r="V7" s="133">
        <f t="shared" si="5"/>
        <v>4000.2884999999997</v>
      </c>
      <c r="W7" s="132">
        <f t="shared" si="6"/>
        <v>16514.011500000001</v>
      </c>
      <c r="X7" s="128">
        <v>7610</v>
      </c>
      <c r="Y7" s="129">
        <v>21</v>
      </c>
      <c r="Z7" s="126">
        <v>500</v>
      </c>
      <c r="AA7" s="130">
        <v>33</v>
      </c>
      <c r="AB7" s="131">
        <f t="shared" ref="AB7:AB24" si="13">X7*AA7/100</f>
        <v>2511.3000000000002</v>
      </c>
      <c r="AC7" s="126">
        <f t="shared" si="7"/>
        <v>7610</v>
      </c>
      <c r="AD7" s="131">
        <f t="shared" si="8"/>
        <v>2283</v>
      </c>
      <c r="AE7" s="132">
        <f t="shared" si="9"/>
        <v>20514.3</v>
      </c>
      <c r="AF7" s="133">
        <f t="shared" si="10"/>
        <v>4000.2884999999997</v>
      </c>
      <c r="AG7" s="132">
        <f t="shared" si="11"/>
        <v>16514.011500000001</v>
      </c>
    </row>
    <row r="8" spans="1:34" s="125" customFormat="1">
      <c r="A8" s="125">
        <v>4</v>
      </c>
      <c r="B8" s="126" t="s">
        <v>6</v>
      </c>
      <c r="C8" s="127" t="s">
        <v>67</v>
      </c>
      <c r="D8" s="128">
        <v>8790</v>
      </c>
      <c r="E8" s="129">
        <v>21</v>
      </c>
      <c r="F8" s="126">
        <v>600</v>
      </c>
      <c r="G8" s="20">
        <v>27</v>
      </c>
      <c r="H8" s="131">
        <f>D8*G8/100</f>
        <v>2373.3000000000002</v>
      </c>
      <c r="I8" s="126">
        <f>D8*100/100</f>
        <v>8790</v>
      </c>
      <c r="J8" s="131">
        <f>D8*30/100</f>
        <v>2637</v>
      </c>
      <c r="K8" s="132">
        <f>D8+F8+H8+I8+J8</f>
        <v>23190.3</v>
      </c>
      <c r="L8" s="133">
        <f t="shared" si="0"/>
        <v>4522.1084999999994</v>
      </c>
      <c r="M8" s="134">
        <f t="shared" si="1"/>
        <v>18668.191500000001</v>
      </c>
      <c r="N8" s="128">
        <v>8790</v>
      </c>
      <c r="O8" s="129">
        <v>20</v>
      </c>
      <c r="P8" s="126">
        <v>600</v>
      </c>
      <c r="Q8" s="20">
        <v>27</v>
      </c>
      <c r="R8" s="131">
        <f t="shared" si="12"/>
        <v>2373.3000000000002</v>
      </c>
      <c r="S8" s="126">
        <f t="shared" si="2"/>
        <v>8790</v>
      </c>
      <c r="T8" s="131">
        <f t="shared" si="3"/>
        <v>2637</v>
      </c>
      <c r="U8" s="132">
        <f t="shared" si="4"/>
        <v>23190.3</v>
      </c>
      <c r="V8" s="133">
        <f t="shared" si="5"/>
        <v>4522.1084999999994</v>
      </c>
      <c r="W8" s="132">
        <f t="shared" si="6"/>
        <v>18668.191500000001</v>
      </c>
      <c r="X8" s="128">
        <v>8790</v>
      </c>
      <c r="Y8" s="129">
        <v>21</v>
      </c>
      <c r="Z8" s="126">
        <v>600</v>
      </c>
      <c r="AA8" s="20">
        <v>27</v>
      </c>
      <c r="AB8" s="131">
        <f t="shared" si="13"/>
        <v>2373.3000000000002</v>
      </c>
      <c r="AC8" s="126">
        <f t="shared" si="7"/>
        <v>8790</v>
      </c>
      <c r="AD8" s="131">
        <f t="shared" si="8"/>
        <v>2637</v>
      </c>
      <c r="AE8" s="132">
        <f t="shared" si="9"/>
        <v>23190.3</v>
      </c>
      <c r="AF8" s="133">
        <f t="shared" si="10"/>
        <v>4522.1084999999994</v>
      </c>
      <c r="AG8" s="132">
        <f t="shared" si="11"/>
        <v>18668.191500000001</v>
      </c>
    </row>
    <row r="9" spans="1:34" s="125" customFormat="1">
      <c r="A9" s="125">
        <v>5</v>
      </c>
      <c r="B9" s="126" t="s">
        <v>7</v>
      </c>
      <c r="C9" s="127" t="s">
        <v>68</v>
      </c>
      <c r="D9" s="128">
        <f>(7610/21)*15</f>
        <v>5435.7142857142862</v>
      </c>
      <c r="E9" s="129">
        <v>15</v>
      </c>
      <c r="F9" s="131">
        <v>428.57</v>
      </c>
      <c r="G9" s="20">
        <v>30</v>
      </c>
      <c r="H9" s="131">
        <f>D9*G9/100</f>
        <v>1630.7142857142858</v>
      </c>
      <c r="I9" s="126">
        <f>D9*100/100</f>
        <v>5435.7142857142862</v>
      </c>
      <c r="J9" s="131">
        <f>D9*30/100</f>
        <v>1630.7142857142858</v>
      </c>
      <c r="K9" s="132">
        <f>D9+F9+H9+I9+J9</f>
        <v>14561.427142857145</v>
      </c>
      <c r="L9" s="133">
        <f t="shared" si="0"/>
        <v>2839.4782928571431</v>
      </c>
      <c r="M9" s="134">
        <f t="shared" si="1"/>
        <v>11721.948850000001</v>
      </c>
      <c r="N9" s="128">
        <f>7610/20*20</f>
        <v>7610</v>
      </c>
      <c r="O9" s="129">
        <v>20</v>
      </c>
      <c r="P9" s="126">
        <v>600</v>
      </c>
      <c r="Q9" s="20">
        <v>30</v>
      </c>
      <c r="R9" s="131">
        <f t="shared" si="12"/>
        <v>2283</v>
      </c>
      <c r="S9" s="126">
        <f t="shared" si="2"/>
        <v>7610</v>
      </c>
      <c r="T9" s="131">
        <f t="shared" si="3"/>
        <v>2283</v>
      </c>
      <c r="U9" s="132">
        <f t="shared" si="4"/>
        <v>20386</v>
      </c>
      <c r="V9" s="133">
        <f t="shared" si="5"/>
        <v>3975.27</v>
      </c>
      <c r="W9" s="132">
        <f t="shared" si="6"/>
        <v>16410.73</v>
      </c>
      <c r="X9" s="128">
        <f>7610/21*15</f>
        <v>5435.7142857142862</v>
      </c>
      <c r="Y9" s="129">
        <v>21</v>
      </c>
      <c r="Z9" s="126">
        <v>600</v>
      </c>
      <c r="AA9" s="20">
        <v>30</v>
      </c>
      <c r="AB9" s="131">
        <f t="shared" si="13"/>
        <v>1630.7142857142858</v>
      </c>
      <c r="AC9" s="126">
        <f t="shared" si="7"/>
        <v>5435.7142857142862</v>
      </c>
      <c r="AD9" s="131">
        <f t="shared" si="8"/>
        <v>1630.7142857142858</v>
      </c>
      <c r="AE9" s="132">
        <f t="shared" si="9"/>
        <v>14732.857142857145</v>
      </c>
      <c r="AF9" s="133">
        <f t="shared" si="10"/>
        <v>2872.9071428571433</v>
      </c>
      <c r="AG9" s="132">
        <f t="shared" si="11"/>
        <v>11859.95</v>
      </c>
    </row>
    <row r="10" spans="1:34" s="125" customFormat="1">
      <c r="A10" s="125">
        <v>6</v>
      </c>
      <c r="B10" s="126" t="s">
        <v>17</v>
      </c>
      <c r="C10" s="127" t="s">
        <v>68</v>
      </c>
      <c r="D10" s="128">
        <v>7610</v>
      </c>
      <c r="E10" s="129">
        <v>21</v>
      </c>
      <c r="F10" s="126">
        <v>600</v>
      </c>
      <c r="G10" s="20">
        <v>36</v>
      </c>
      <c r="H10" s="131">
        <f>D10*G10/100</f>
        <v>2739.6</v>
      </c>
      <c r="I10" s="126">
        <f>D10*100/100</f>
        <v>7610</v>
      </c>
      <c r="J10" s="131">
        <f>D10*30/100</f>
        <v>2283</v>
      </c>
      <c r="K10" s="132">
        <f>D10+F10+H10+I10+J10</f>
        <v>20842.599999999999</v>
      </c>
      <c r="L10" s="133">
        <f t="shared" si="0"/>
        <v>4064.3069999999993</v>
      </c>
      <c r="M10" s="134">
        <f t="shared" si="1"/>
        <v>16778.292999999998</v>
      </c>
      <c r="N10" s="128">
        <f>(7610/20)*15</f>
        <v>5707.5</v>
      </c>
      <c r="O10" s="129">
        <v>15</v>
      </c>
      <c r="P10" s="126">
        <v>450</v>
      </c>
      <c r="Q10" s="20">
        <v>36</v>
      </c>
      <c r="R10" s="131">
        <f t="shared" si="12"/>
        <v>2054.6999999999998</v>
      </c>
      <c r="S10" s="126">
        <f t="shared" si="2"/>
        <v>5707.5</v>
      </c>
      <c r="T10" s="131">
        <f t="shared" si="3"/>
        <v>1712.25</v>
      </c>
      <c r="U10" s="132">
        <f t="shared" si="4"/>
        <v>15631.95</v>
      </c>
      <c r="V10" s="133">
        <f t="shared" si="5"/>
        <v>3048.2302500000001</v>
      </c>
      <c r="W10" s="132">
        <f t="shared" si="6"/>
        <v>12583.71975</v>
      </c>
      <c r="X10" s="128">
        <v>7247.62</v>
      </c>
      <c r="Y10" s="129">
        <v>20</v>
      </c>
      <c r="Z10" s="131">
        <v>571.42999999999995</v>
      </c>
      <c r="AA10" s="20">
        <v>36</v>
      </c>
      <c r="AB10" s="131">
        <f t="shared" si="13"/>
        <v>2609.1432</v>
      </c>
      <c r="AC10" s="126">
        <f t="shared" si="7"/>
        <v>7247.62</v>
      </c>
      <c r="AD10" s="131">
        <f t="shared" si="8"/>
        <v>2174.2860000000001</v>
      </c>
      <c r="AE10" s="132">
        <f t="shared" si="9"/>
        <v>19850.099200000001</v>
      </c>
      <c r="AF10" s="133">
        <f t="shared" si="10"/>
        <v>3870.7693440000003</v>
      </c>
      <c r="AG10" s="132">
        <f t="shared" si="11"/>
        <v>15979.329856</v>
      </c>
    </row>
    <row r="11" spans="1:34" s="125" customFormat="1" ht="26.2">
      <c r="A11" s="125">
        <v>7</v>
      </c>
      <c r="B11" s="126" t="s">
        <v>19</v>
      </c>
      <c r="C11" s="127" t="s">
        <v>69</v>
      </c>
      <c r="D11" s="128">
        <v>7610</v>
      </c>
      <c r="E11" s="129">
        <v>21</v>
      </c>
      <c r="F11" s="126">
        <v>300</v>
      </c>
      <c r="G11" s="20">
        <v>24</v>
      </c>
      <c r="H11" s="131">
        <f>D11*G11/100</f>
        <v>1826.4</v>
      </c>
      <c r="I11" s="126">
        <f>D11*100/100</f>
        <v>7610</v>
      </c>
      <c r="J11" s="131">
        <f>D11*30/100</f>
        <v>2283</v>
      </c>
      <c r="K11" s="132">
        <f>D11+F11+H11+I11+J11</f>
        <v>19629.400000000001</v>
      </c>
      <c r="L11" s="133">
        <f t="shared" si="0"/>
        <v>3827.7330000000006</v>
      </c>
      <c r="M11" s="134">
        <f t="shared" si="1"/>
        <v>15801.667000000001</v>
      </c>
      <c r="N11" s="128">
        <f>(5510/20)*10</f>
        <v>2755</v>
      </c>
      <c r="O11" s="129">
        <v>10</v>
      </c>
      <c r="P11" s="126">
        <v>150</v>
      </c>
      <c r="Q11" s="20">
        <v>24</v>
      </c>
      <c r="R11" s="131">
        <f t="shared" si="12"/>
        <v>661.2</v>
      </c>
      <c r="S11" s="126">
        <f t="shared" si="2"/>
        <v>2755</v>
      </c>
      <c r="T11" s="131">
        <f t="shared" si="3"/>
        <v>826.5</v>
      </c>
      <c r="U11" s="132">
        <f t="shared" si="4"/>
        <v>7147.7</v>
      </c>
      <c r="V11" s="133">
        <f t="shared" si="5"/>
        <v>1393.8015</v>
      </c>
      <c r="W11" s="132">
        <f t="shared" si="6"/>
        <v>5753.8984999999993</v>
      </c>
      <c r="X11" s="128">
        <v>7610</v>
      </c>
      <c r="Y11" s="129">
        <v>21</v>
      </c>
      <c r="Z11" s="126">
        <v>300</v>
      </c>
      <c r="AA11" s="20">
        <v>24</v>
      </c>
      <c r="AB11" s="131">
        <f t="shared" si="13"/>
        <v>1826.4</v>
      </c>
      <c r="AC11" s="126">
        <f t="shared" si="7"/>
        <v>7610</v>
      </c>
      <c r="AD11" s="131">
        <f t="shared" si="8"/>
        <v>2283</v>
      </c>
      <c r="AE11" s="132">
        <f t="shared" si="9"/>
        <v>19629.400000000001</v>
      </c>
      <c r="AF11" s="133">
        <f t="shared" si="10"/>
        <v>3827.7330000000006</v>
      </c>
      <c r="AG11" s="132">
        <f t="shared" si="11"/>
        <v>15801.667000000001</v>
      </c>
    </row>
    <row r="12" spans="1:34" s="136" customFormat="1" ht="26.2">
      <c r="A12" s="136">
        <v>8</v>
      </c>
      <c r="B12" s="137" t="s">
        <v>8</v>
      </c>
      <c r="C12" s="127" t="s">
        <v>69</v>
      </c>
      <c r="D12" s="128">
        <v>4985.24</v>
      </c>
      <c r="E12" s="129">
        <v>19</v>
      </c>
      <c r="F12" s="138">
        <v>271.43</v>
      </c>
      <c r="G12" s="139">
        <v>45</v>
      </c>
      <c r="H12" s="131">
        <f>D12*G12/100</f>
        <v>2243.3579999999997</v>
      </c>
      <c r="I12" s="126">
        <f>D12*100/100</f>
        <v>4985.24</v>
      </c>
      <c r="J12" s="131">
        <f>D12*30/100</f>
        <v>1495.5719999999999</v>
      </c>
      <c r="K12" s="132">
        <f>D12+F12+H12+I12+J12</f>
        <v>13980.84</v>
      </c>
      <c r="L12" s="133">
        <f t="shared" si="0"/>
        <v>2726.2638000000002</v>
      </c>
      <c r="M12" s="134">
        <f t="shared" si="1"/>
        <v>11254.5762</v>
      </c>
      <c r="N12" s="128">
        <v>5510</v>
      </c>
      <c r="O12" s="129">
        <v>20</v>
      </c>
      <c r="P12" s="137">
        <v>300</v>
      </c>
      <c r="Q12" s="139">
        <v>45</v>
      </c>
      <c r="R12" s="131">
        <f t="shared" si="12"/>
        <v>2479.5</v>
      </c>
      <c r="S12" s="126">
        <f t="shared" si="2"/>
        <v>5510</v>
      </c>
      <c r="T12" s="131">
        <f t="shared" si="3"/>
        <v>1653</v>
      </c>
      <c r="U12" s="132">
        <f t="shared" si="4"/>
        <v>15452.5</v>
      </c>
      <c r="V12" s="133">
        <f t="shared" si="5"/>
        <v>3013.2375000000002</v>
      </c>
      <c r="W12" s="132">
        <f t="shared" si="6"/>
        <v>12439.262500000001</v>
      </c>
      <c r="X12" s="128">
        <v>4985.24</v>
      </c>
      <c r="Y12" s="129">
        <v>21</v>
      </c>
      <c r="Z12" s="137">
        <v>300</v>
      </c>
      <c r="AA12" s="139">
        <v>45</v>
      </c>
      <c r="AB12" s="131">
        <f t="shared" si="13"/>
        <v>2243.3579999999997</v>
      </c>
      <c r="AC12" s="126">
        <f t="shared" si="7"/>
        <v>4985.24</v>
      </c>
      <c r="AD12" s="131">
        <f t="shared" si="8"/>
        <v>1495.5719999999999</v>
      </c>
      <c r="AE12" s="132">
        <f t="shared" si="9"/>
        <v>14009.41</v>
      </c>
      <c r="AF12" s="133">
        <f t="shared" si="10"/>
        <v>2731.8349499999999</v>
      </c>
      <c r="AG12" s="132">
        <f t="shared" si="11"/>
        <v>11277.575049999999</v>
      </c>
    </row>
    <row r="13" spans="1:34" s="125" customFormat="1" ht="26.2">
      <c r="A13" s="125">
        <v>9</v>
      </c>
      <c r="B13" s="126" t="s">
        <v>9</v>
      </c>
      <c r="C13" s="127" t="s">
        <v>69</v>
      </c>
      <c r="D13" s="128">
        <v>5510</v>
      </c>
      <c r="E13" s="129">
        <v>21</v>
      </c>
      <c r="F13" s="126">
        <v>300</v>
      </c>
      <c r="G13" s="20">
        <v>50</v>
      </c>
      <c r="H13" s="131">
        <f>D13*G13/100</f>
        <v>2755</v>
      </c>
      <c r="I13" s="126">
        <f>D13*100/100</f>
        <v>5510</v>
      </c>
      <c r="J13" s="131">
        <f>D13*30/100</f>
        <v>1653</v>
      </c>
      <c r="K13" s="132">
        <f>D13+F13+H13+I13+J13</f>
        <v>15728</v>
      </c>
      <c r="L13" s="133">
        <f t="shared" si="0"/>
        <v>3066.96</v>
      </c>
      <c r="M13" s="134">
        <f t="shared" si="1"/>
        <v>12661.04</v>
      </c>
      <c r="N13" s="128">
        <v>5510</v>
      </c>
      <c r="O13" s="129">
        <v>20</v>
      </c>
      <c r="P13" s="126">
        <v>300</v>
      </c>
      <c r="Q13" s="20">
        <v>50</v>
      </c>
      <c r="R13" s="131">
        <f t="shared" si="12"/>
        <v>2755</v>
      </c>
      <c r="S13" s="126">
        <f t="shared" si="2"/>
        <v>5510</v>
      </c>
      <c r="T13" s="131">
        <f t="shared" si="3"/>
        <v>1653</v>
      </c>
      <c r="U13" s="132">
        <f t="shared" si="4"/>
        <v>15728</v>
      </c>
      <c r="V13" s="133">
        <f t="shared" si="5"/>
        <v>3066.96</v>
      </c>
      <c r="W13" s="132">
        <f t="shared" si="6"/>
        <v>12661.04</v>
      </c>
      <c r="X13" s="128">
        <v>5510</v>
      </c>
      <c r="Y13" s="129">
        <v>21</v>
      </c>
      <c r="Z13" s="126">
        <v>300</v>
      </c>
      <c r="AA13" s="20">
        <v>50</v>
      </c>
      <c r="AB13" s="131">
        <f t="shared" si="13"/>
        <v>2755</v>
      </c>
      <c r="AC13" s="126">
        <f t="shared" si="7"/>
        <v>5510</v>
      </c>
      <c r="AD13" s="131">
        <f t="shared" si="8"/>
        <v>1653</v>
      </c>
      <c r="AE13" s="132">
        <f t="shared" si="9"/>
        <v>15728</v>
      </c>
      <c r="AF13" s="133">
        <f t="shared" si="10"/>
        <v>3066.96</v>
      </c>
      <c r="AG13" s="132">
        <f t="shared" si="11"/>
        <v>12661.04</v>
      </c>
    </row>
    <row r="14" spans="1:34" s="125" customFormat="1" ht="26.2">
      <c r="A14" s="125">
        <v>10</v>
      </c>
      <c r="B14" s="126" t="s">
        <v>52</v>
      </c>
      <c r="C14" s="127" t="s">
        <v>69</v>
      </c>
      <c r="D14" s="128">
        <v>5510</v>
      </c>
      <c r="E14" s="129">
        <v>21</v>
      </c>
      <c r="F14" s="126">
        <v>300</v>
      </c>
      <c r="G14" s="20">
        <v>6</v>
      </c>
      <c r="H14" s="131">
        <f>D14*G14/100</f>
        <v>330.6</v>
      </c>
      <c r="I14" s="126">
        <f>D14*100/100</f>
        <v>5510</v>
      </c>
      <c r="J14" s="131">
        <f>D14*30/100</f>
        <v>1653</v>
      </c>
      <c r="K14" s="132">
        <f>D14+F14+H14+I14+J14</f>
        <v>13303.6</v>
      </c>
      <c r="L14" s="133">
        <f t="shared" si="0"/>
        <v>2594.2020000000002</v>
      </c>
      <c r="M14" s="134">
        <f t="shared" si="1"/>
        <v>10709.398000000001</v>
      </c>
      <c r="N14" s="128">
        <v>5510</v>
      </c>
      <c r="O14" s="129">
        <v>20</v>
      </c>
      <c r="P14" s="126">
        <v>300</v>
      </c>
      <c r="Q14" s="20">
        <v>6</v>
      </c>
      <c r="R14" s="131">
        <f t="shared" si="12"/>
        <v>330.6</v>
      </c>
      <c r="S14" s="126">
        <f t="shared" si="2"/>
        <v>5510</v>
      </c>
      <c r="T14" s="131">
        <f t="shared" si="3"/>
        <v>1653</v>
      </c>
      <c r="U14" s="132">
        <f t="shared" si="4"/>
        <v>13303.6</v>
      </c>
      <c r="V14" s="133">
        <f t="shared" si="5"/>
        <v>2594.2020000000002</v>
      </c>
      <c r="W14" s="132">
        <f t="shared" si="6"/>
        <v>10709.398000000001</v>
      </c>
      <c r="X14" s="128">
        <v>1049.52</v>
      </c>
      <c r="Y14" s="129">
        <v>4</v>
      </c>
      <c r="Z14" s="131">
        <v>57.14</v>
      </c>
      <c r="AA14" s="20">
        <v>6</v>
      </c>
      <c r="AB14" s="131">
        <f t="shared" si="13"/>
        <v>62.971199999999996</v>
      </c>
      <c r="AC14" s="126">
        <f t="shared" si="7"/>
        <v>1049.52</v>
      </c>
      <c r="AD14" s="131">
        <f t="shared" si="8"/>
        <v>314.85599999999999</v>
      </c>
      <c r="AE14" s="132">
        <f t="shared" si="9"/>
        <v>2534.0072</v>
      </c>
      <c r="AF14" s="133">
        <f t="shared" si="10"/>
        <v>494.13140400000003</v>
      </c>
      <c r="AG14" s="132">
        <f t="shared" si="11"/>
        <v>2039.875796</v>
      </c>
    </row>
    <row r="15" spans="1:34" s="125" customFormat="1" ht="26.2">
      <c r="A15" s="125">
        <v>11</v>
      </c>
      <c r="B15" s="126" t="s">
        <v>11</v>
      </c>
      <c r="C15" s="127" t="s">
        <v>69</v>
      </c>
      <c r="D15" s="128">
        <v>5510</v>
      </c>
      <c r="E15" s="129">
        <v>21</v>
      </c>
      <c r="F15" s="126">
        <v>500</v>
      </c>
      <c r="G15" s="20">
        <v>36</v>
      </c>
      <c r="H15" s="131">
        <f>D15*G15/100</f>
        <v>1983.6</v>
      </c>
      <c r="I15" s="126">
        <f>D15*100/100</f>
        <v>5510</v>
      </c>
      <c r="J15" s="131">
        <f>D15*30/100</f>
        <v>1653</v>
      </c>
      <c r="K15" s="132">
        <f>D15+F15+H15+I15+J15</f>
        <v>15156.6</v>
      </c>
      <c r="L15" s="133">
        <f t="shared" si="0"/>
        <v>2955.5370000000003</v>
      </c>
      <c r="M15" s="134">
        <f t="shared" si="1"/>
        <v>12201.063</v>
      </c>
      <c r="N15" s="128">
        <f>(5510/20)*15</f>
        <v>4132.5</v>
      </c>
      <c r="O15" s="129">
        <v>11</v>
      </c>
      <c r="P15" s="126">
        <v>275</v>
      </c>
      <c r="Q15" s="20">
        <v>36</v>
      </c>
      <c r="R15" s="131">
        <f t="shared" si="12"/>
        <v>1487.7</v>
      </c>
      <c r="S15" s="126">
        <f t="shared" si="2"/>
        <v>4132.5</v>
      </c>
      <c r="T15" s="131">
        <f t="shared" si="3"/>
        <v>1239.75</v>
      </c>
      <c r="U15" s="132">
        <f t="shared" si="4"/>
        <v>11267.45</v>
      </c>
      <c r="V15" s="133">
        <f t="shared" si="5"/>
        <v>2197.1527500000002</v>
      </c>
      <c r="W15" s="132">
        <f t="shared" si="6"/>
        <v>9070.2972499999996</v>
      </c>
      <c r="X15" s="128">
        <v>5510</v>
      </c>
      <c r="Y15" s="129">
        <v>21</v>
      </c>
      <c r="Z15" s="126">
        <v>500</v>
      </c>
      <c r="AA15" s="20">
        <v>36</v>
      </c>
      <c r="AB15" s="131">
        <f t="shared" si="13"/>
        <v>1983.6</v>
      </c>
      <c r="AC15" s="126">
        <f t="shared" si="7"/>
        <v>5510</v>
      </c>
      <c r="AD15" s="131">
        <f t="shared" si="8"/>
        <v>1653</v>
      </c>
      <c r="AE15" s="132">
        <f t="shared" si="9"/>
        <v>15156.6</v>
      </c>
      <c r="AF15" s="133">
        <f t="shared" si="10"/>
        <v>2955.5370000000003</v>
      </c>
      <c r="AG15" s="132">
        <f t="shared" si="11"/>
        <v>12201.063</v>
      </c>
    </row>
    <row r="16" spans="1:34" s="125" customFormat="1" ht="26.2">
      <c r="A16" s="125">
        <v>12</v>
      </c>
      <c r="B16" s="126" t="s">
        <v>12</v>
      </c>
      <c r="C16" s="127" t="s">
        <v>69</v>
      </c>
      <c r="D16" s="128">
        <v>4985.24</v>
      </c>
      <c r="E16" s="129">
        <v>19</v>
      </c>
      <c r="F16" s="131">
        <v>271.43</v>
      </c>
      <c r="G16" s="20">
        <v>42</v>
      </c>
      <c r="H16" s="131">
        <f>D16*G16/100</f>
        <v>2093.8008</v>
      </c>
      <c r="I16" s="126">
        <f>D16*100/100</f>
        <v>4985.24</v>
      </c>
      <c r="J16" s="131">
        <f>D16*30/100</f>
        <v>1495.5719999999999</v>
      </c>
      <c r="K16" s="132">
        <f>D16+F16+H16+I16+J16</f>
        <v>13831.282800000001</v>
      </c>
      <c r="L16" s="133">
        <f t="shared" si="0"/>
        <v>2697.1001459999998</v>
      </c>
      <c r="M16" s="134">
        <f t="shared" si="1"/>
        <v>11134.182654</v>
      </c>
      <c r="N16" s="128">
        <v>5510</v>
      </c>
      <c r="O16" s="129">
        <v>20</v>
      </c>
      <c r="P16" s="126">
        <v>300</v>
      </c>
      <c r="Q16" s="20">
        <v>42</v>
      </c>
      <c r="R16" s="131">
        <f t="shared" si="12"/>
        <v>2314.1999999999998</v>
      </c>
      <c r="S16" s="126">
        <f t="shared" si="2"/>
        <v>5510</v>
      </c>
      <c r="T16" s="131">
        <f t="shared" si="3"/>
        <v>1653</v>
      </c>
      <c r="U16" s="132">
        <f t="shared" si="4"/>
        <v>15287.2</v>
      </c>
      <c r="V16" s="133">
        <f t="shared" si="5"/>
        <v>2981.0040000000004</v>
      </c>
      <c r="W16" s="132">
        <f t="shared" si="6"/>
        <v>12306.196</v>
      </c>
      <c r="X16" s="128">
        <v>4985.24</v>
      </c>
      <c r="Y16" s="129">
        <v>21</v>
      </c>
      <c r="Z16" s="126">
        <v>300</v>
      </c>
      <c r="AA16" s="20">
        <v>42</v>
      </c>
      <c r="AB16" s="131">
        <f t="shared" si="13"/>
        <v>2093.8008</v>
      </c>
      <c r="AC16" s="126">
        <f t="shared" si="7"/>
        <v>4985.24</v>
      </c>
      <c r="AD16" s="131">
        <f t="shared" si="8"/>
        <v>1495.5719999999999</v>
      </c>
      <c r="AE16" s="132">
        <f t="shared" si="9"/>
        <v>13859.852800000001</v>
      </c>
      <c r="AF16" s="133">
        <f t="shared" si="10"/>
        <v>2702.671296</v>
      </c>
      <c r="AG16" s="132">
        <f t="shared" si="11"/>
        <v>11157.181504</v>
      </c>
    </row>
    <row r="17" spans="1:34" s="125" customFormat="1" ht="26.2">
      <c r="A17" s="125">
        <v>13</v>
      </c>
      <c r="B17" s="126" t="s">
        <v>13</v>
      </c>
      <c r="C17" s="127" t="s">
        <v>69</v>
      </c>
      <c r="D17" s="128">
        <v>4722.8500000000004</v>
      </c>
      <c r="E17" s="129">
        <v>18</v>
      </c>
      <c r="F17" s="131">
        <v>171.42</v>
      </c>
      <c r="G17" s="20">
        <v>9</v>
      </c>
      <c r="H17" s="131">
        <f>D17*G17/100</f>
        <v>425.05650000000003</v>
      </c>
      <c r="I17" s="126">
        <f>D17*100/100</f>
        <v>4722.8500000000004</v>
      </c>
      <c r="J17" s="131">
        <f>D17*30/100</f>
        <v>1416.855</v>
      </c>
      <c r="K17" s="132">
        <f>D17+F17+H17+I17+J17</f>
        <v>11459.031500000001</v>
      </c>
      <c r="L17" s="133">
        <f t="shared" si="0"/>
        <v>2234.5111425</v>
      </c>
      <c r="M17" s="134">
        <f t="shared" si="1"/>
        <v>9224.5203575000014</v>
      </c>
      <c r="N17" s="128">
        <v>0</v>
      </c>
      <c r="O17" s="129">
        <v>0</v>
      </c>
      <c r="P17" s="126">
        <v>0</v>
      </c>
      <c r="Q17" s="20">
        <v>0</v>
      </c>
      <c r="R17" s="131">
        <v>0</v>
      </c>
      <c r="S17" s="126">
        <v>0</v>
      </c>
      <c r="T17" s="131">
        <v>0</v>
      </c>
      <c r="U17" s="132">
        <v>0</v>
      </c>
      <c r="V17" s="133">
        <v>0</v>
      </c>
      <c r="W17" s="132">
        <f t="shared" si="6"/>
        <v>0</v>
      </c>
      <c r="X17" s="128">
        <v>0</v>
      </c>
      <c r="Y17" s="129">
        <v>0</v>
      </c>
      <c r="Z17" s="126">
        <v>0</v>
      </c>
      <c r="AA17" s="20">
        <v>0</v>
      </c>
      <c r="AB17" s="131">
        <v>0</v>
      </c>
      <c r="AC17" s="126">
        <v>0</v>
      </c>
      <c r="AD17" s="131">
        <v>0</v>
      </c>
      <c r="AE17" s="132">
        <v>0</v>
      </c>
      <c r="AF17" s="133">
        <v>0</v>
      </c>
      <c r="AG17" s="132">
        <f t="shared" si="11"/>
        <v>0</v>
      </c>
      <c r="AH17" s="125">
        <v>0</v>
      </c>
    </row>
    <row r="18" spans="1:34" s="125" customFormat="1" ht="26.2">
      <c r="A18" s="125">
        <v>14</v>
      </c>
      <c r="B18" s="126" t="s">
        <v>14</v>
      </c>
      <c r="C18" s="127" t="s">
        <v>69</v>
      </c>
      <c r="D18" s="128">
        <v>4985.24</v>
      </c>
      <c r="E18" s="129">
        <v>19</v>
      </c>
      <c r="F18" s="131">
        <v>180.95</v>
      </c>
      <c r="G18" s="20">
        <v>15</v>
      </c>
      <c r="H18" s="131">
        <f>D18*G18/100</f>
        <v>747.78599999999994</v>
      </c>
      <c r="I18" s="126">
        <f>D18*100/100</f>
        <v>4985.24</v>
      </c>
      <c r="J18" s="131">
        <f>D18*30/100</f>
        <v>1495.5719999999999</v>
      </c>
      <c r="K18" s="132">
        <f>D18+F18+H18+I18+J18</f>
        <v>12394.788</v>
      </c>
      <c r="L18" s="133">
        <f t="shared" si="0"/>
        <v>2416.9836599999999</v>
      </c>
      <c r="M18" s="134">
        <f t="shared" si="1"/>
        <v>9977.8043400000006</v>
      </c>
      <c r="N18" s="128">
        <v>4985.24</v>
      </c>
      <c r="O18" s="129">
        <v>20</v>
      </c>
      <c r="P18" s="126">
        <v>200</v>
      </c>
      <c r="Q18" s="20">
        <v>15</v>
      </c>
      <c r="R18" s="131">
        <f t="shared" si="12"/>
        <v>747.78599999999994</v>
      </c>
      <c r="S18" s="126">
        <f t="shared" si="2"/>
        <v>4985.24</v>
      </c>
      <c r="T18" s="131">
        <f t="shared" si="3"/>
        <v>1495.5719999999999</v>
      </c>
      <c r="U18" s="132">
        <f t="shared" si="4"/>
        <v>12413.838</v>
      </c>
      <c r="V18" s="133">
        <f t="shared" si="5"/>
        <v>2420.69841</v>
      </c>
      <c r="W18" s="132">
        <f t="shared" si="6"/>
        <v>9993.1395899999989</v>
      </c>
      <c r="X18" s="128">
        <v>5510</v>
      </c>
      <c r="Y18" s="129">
        <v>21</v>
      </c>
      <c r="Z18" s="126">
        <v>200</v>
      </c>
      <c r="AA18" s="20">
        <v>15</v>
      </c>
      <c r="AB18" s="131">
        <f t="shared" si="13"/>
        <v>826.5</v>
      </c>
      <c r="AC18" s="126">
        <f t="shared" si="7"/>
        <v>5510</v>
      </c>
      <c r="AD18" s="131">
        <f t="shared" si="8"/>
        <v>1653</v>
      </c>
      <c r="AE18" s="132">
        <f t="shared" si="9"/>
        <v>13699.5</v>
      </c>
      <c r="AF18" s="133">
        <f t="shared" si="10"/>
        <v>2671.4025000000001</v>
      </c>
      <c r="AG18" s="132">
        <f t="shared" si="11"/>
        <v>11028.0975</v>
      </c>
    </row>
    <row r="19" spans="1:34" s="125" customFormat="1" ht="26.2">
      <c r="A19" s="125">
        <v>15</v>
      </c>
      <c r="B19" s="126" t="s">
        <v>18</v>
      </c>
      <c r="C19" s="127" t="s">
        <v>70</v>
      </c>
      <c r="D19" s="128">
        <v>4985.24</v>
      </c>
      <c r="E19" s="129">
        <v>19</v>
      </c>
      <c r="F19" s="131">
        <v>271.43</v>
      </c>
      <c r="G19" s="20">
        <v>9</v>
      </c>
      <c r="H19" s="131">
        <f>D19*G19/100</f>
        <v>448.67159999999996</v>
      </c>
      <c r="I19" s="126">
        <f>D19*100/100</f>
        <v>4985.24</v>
      </c>
      <c r="J19" s="131">
        <f>D19*30/100</f>
        <v>1495.5719999999999</v>
      </c>
      <c r="K19" s="132">
        <f>D19+F19+H19+I19+J19</f>
        <v>12186.1536</v>
      </c>
      <c r="L19" s="133">
        <f t="shared" si="0"/>
        <v>2376.2999519999998</v>
      </c>
      <c r="M19" s="134">
        <f t="shared" si="1"/>
        <v>9809.8536480000002</v>
      </c>
      <c r="N19" s="128">
        <f>(5090/20)*19</f>
        <v>4835.5</v>
      </c>
      <c r="O19" s="129">
        <v>19</v>
      </c>
      <c r="P19" s="126">
        <v>285</v>
      </c>
      <c r="Q19" s="20">
        <v>9</v>
      </c>
      <c r="R19" s="131">
        <f t="shared" si="12"/>
        <v>435.19499999999999</v>
      </c>
      <c r="S19" s="126">
        <f t="shared" si="2"/>
        <v>4835.5</v>
      </c>
      <c r="T19" s="131">
        <f t="shared" si="3"/>
        <v>1450.65</v>
      </c>
      <c r="U19" s="132">
        <f t="shared" si="4"/>
        <v>11841.844999999999</v>
      </c>
      <c r="V19" s="133">
        <f t="shared" si="5"/>
        <v>2309.1597749999996</v>
      </c>
      <c r="W19" s="132">
        <f t="shared" si="6"/>
        <v>9532.6852249999993</v>
      </c>
      <c r="X19" s="128">
        <v>5090</v>
      </c>
      <c r="Y19" s="129">
        <v>21</v>
      </c>
      <c r="Z19" s="126">
        <v>300</v>
      </c>
      <c r="AA19" s="20">
        <v>9</v>
      </c>
      <c r="AB19" s="131">
        <f t="shared" si="13"/>
        <v>458.1</v>
      </c>
      <c r="AC19" s="126">
        <f t="shared" si="7"/>
        <v>5090</v>
      </c>
      <c r="AD19" s="131">
        <f t="shared" si="8"/>
        <v>1527</v>
      </c>
      <c r="AE19" s="132">
        <f t="shared" si="9"/>
        <v>12465.1</v>
      </c>
      <c r="AF19" s="133">
        <f t="shared" si="10"/>
        <v>2430.6945000000001</v>
      </c>
      <c r="AG19" s="132">
        <f t="shared" si="11"/>
        <v>10034.405500000001</v>
      </c>
    </row>
    <row r="20" spans="1:34" s="125" customFormat="1" ht="26.2">
      <c r="A20" s="125">
        <v>16</v>
      </c>
      <c r="B20" s="126" t="s">
        <v>28</v>
      </c>
      <c r="C20" s="127" t="s">
        <v>69</v>
      </c>
      <c r="D20" s="128">
        <v>5510</v>
      </c>
      <c r="E20" s="129">
        <v>21</v>
      </c>
      <c r="F20" s="126">
        <v>200</v>
      </c>
      <c r="G20" s="20">
        <v>3</v>
      </c>
      <c r="H20" s="131">
        <f>D20*G20/100</f>
        <v>165.3</v>
      </c>
      <c r="I20" s="126">
        <f>D20*100/100</f>
        <v>5510</v>
      </c>
      <c r="J20" s="131">
        <f>D20*30/100</f>
        <v>1653</v>
      </c>
      <c r="K20" s="132">
        <f>D20+F20+H20+I20+J20</f>
        <v>13038.3</v>
      </c>
      <c r="L20" s="133">
        <f t="shared" si="0"/>
        <v>2542.4684999999999</v>
      </c>
      <c r="M20" s="134">
        <f t="shared" si="1"/>
        <v>10495.8315</v>
      </c>
      <c r="N20" s="128">
        <v>5510</v>
      </c>
      <c r="O20" s="129">
        <v>20</v>
      </c>
      <c r="P20" s="126">
        <v>200</v>
      </c>
      <c r="Q20" s="20">
        <v>3</v>
      </c>
      <c r="R20" s="131">
        <f t="shared" si="12"/>
        <v>165.3</v>
      </c>
      <c r="S20" s="126">
        <f t="shared" si="2"/>
        <v>5510</v>
      </c>
      <c r="T20" s="131">
        <f t="shared" si="3"/>
        <v>1653</v>
      </c>
      <c r="U20" s="132">
        <f t="shared" si="4"/>
        <v>13038.3</v>
      </c>
      <c r="V20" s="133">
        <f t="shared" si="5"/>
        <v>2542.4684999999999</v>
      </c>
      <c r="W20" s="132">
        <f t="shared" si="6"/>
        <v>10495.8315</v>
      </c>
      <c r="X20" s="128">
        <v>3148.57</v>
      </c>
      <c r="Y20" s="129">
        <v>12</v>
      </c>
      <c r="Z20" s="126">
        <v>200</v>
      </c>
      <c r="AA20" s="20">
        <v>3</v>
      </c>
      <c r="AB20" s="131">
        <f t="shared" si="13"/>
        <v>94.457100000000011</v>
      </c>
      <c r="AC20" s="126">
        <f t="shared" si="7"/>
        <v>3148.57</v>
      </c>
      <c r="AD20" s="131">
        <f t="shared" si="8"/>
        <v>944.57100000000003</v>
      </c>
      <c r="AE20" s="132">
        <f t="shared" si="9"/>
        <v>7536.1681000000008</v>
      </c>
      <c r="AF20" s="133">
        <f t="shared" si="10"/>
        <v>1469.5527795000003</v>
      </c>
      <c r="AG20" s="132">
        <f t="shared" si="11"/>
        <v>6066.615320500001</v>
      </c>
    </row>
    <row r="21" spans="1:34" s="125" customFormat="1" ht="26.2">
      <c r="A21" s="125">
        <v>17</v>
      </c>
      <c r="B21" s="126" t="s">
        <v>21</v>
      </c>
      <c r="C21" s="127" t="s">
        <v>69</v>
      </c>
      <c r="D21" s="128">
        <v>5510</v>
      </c>
      <c r="E21" s="129">
        <v>21</v>
      </c>
      <c r="F21" s="126">
        <v>200</v>
      </c>
      <c r="G21" s="20">
        <v>27</v>
      </c>
      <c r="H21" s="131">
        <f>D21*G21/100</f>
        <v>1487.7</v>
      </c>
      <c r="I21" s="126">
        <f>D21*100/100</f>
        <v>5510</v>
      </c>
      <c r="J21" s="131">
        <f>D21*30/100</f>
        <v>1653</v>
      </c>
      <c r="K21" s="132">
        <f>D21+F21+H21+I21+J21</f>
        <v>14360.7</v>
      </c>
      <c r="L21" s="133">
        <f t="shared" si="0"/>
        <v>2800.3365000000003</v>
      </c>
      <c r="M21" s="134">
        <f t="shared" si="1"/>
        <v>11560.363499999999</v>
      </c>
      <c r="N21" s="128">
        <v>5510</v>
      </c>
      <c r="O21" s="129">
        <v>20</v>
      </c>
      <c r="P21" s="126">
        <v>200</v>
      </c>
      <c r="Q21" s="20">
        <v>27</v>
      </c>
      <c r="R21" s="131">
        <f t="shared" si="12"/>
        <v>1487.7</v>
      </c>
      <c r="S21" s="126">
        <f t="shared" si="2"/>
        <v>5510</v>
      </c>
      <c r="T21" s="131">
        <f t="shared" si="3"/>
        <v>1653</v>
      </c>
      <c r="U21" s="132">
        <f t="shared" si="4"/>
        <v>14360.7</v>
      </c>
      <c r="V21" s="133">
        <f t="shared" si="5"/>
        <v>2800.3365000000003</v>
      </c>
      <c r="W21" s="132">
        <f t="shared" si="6"/>
        <v>11560.363499999999</v>
      </c>
      <c r="X21" s="128">
        <v>5510</v>
      </c>
      <c r="Y21" s="129">
        <v>21</v>
      </c>
      <c r="Z21" s="126">
        <v>200</v>
      </c>
      <c r="AA21" s="20">
        <v>27</v>
      </c>
      <c r="AB21" s="131">
        <f t="shared" si="13"/>
        <v>1487.7</v>
      </c>
      <c r="AC21" s="126">
        <f t="shared" si="7"/>
        <v>5510</v>
      </c>
      <c r="AD21" s="131">
        <f t="shared" si="8"/>
        <v>1653</v>
      </c>
      <c r="AE21" s="132">
        <f t="shared" si="9"/>
        <v>14360.7</v>
      </c>
      <c r="AF21" s="133">
        <f t="shared" si="10"/>
        <v>2800.3365000000003</v>
      </c>
      <c r="AG21" s="132">
        <f t="shared" si="11"/>
        <v>11560.363499999999</v>
      </c>
    </row>
    <row r="22" spans="1:34" s="125" customFormat="1" ht="26.2">
      <c r="A22" s="125">
        <v>18</v>
      </c>
      <c r="B22" s="126" t="s">
        <v>59</v>
      </c>
      <c r="C22" s="127" t="s">
        <v>69</v>
      </c>
      <c r="D22" s="128">
        <v>5510</v>
      </c>
      <c r="E22" s="129">
        <v>21</v>
      </c>
      <c r="F22" s="126">
        <v>200</v>
      </c>
      <c r="G22" s="20"/>
      <c r="H22" s="131">
        <f>D22*G22/100</f>
        <v>0</v>
      </c>
      <c r="I22" s="126">
        <f>D22*100/100</f>
        <v>5510</v>
      </c>
      <c r="J22" s="131">
        <f>D22*30/100</f>
        <v>1653</v>
      </c>
      <c r="K22" s="132">
        <f>D22+F22+H22+I22+J22</f>
        <v>12873</v>
      </c>
      <c r="L22" s="133">
        <f t="shared" si="0"/>
        <v>2510.2350000000001</v>
      </c>
      <c r="M22" s="134">
        <f t="shared" ref="M22" si="14">K22-L22</f>
        <v>10362.764999999999</v>
      </c>
      <c r="N22" s="128">
        <v>5510</v>
      </c>
      <c r="O22" s="129">
        <v>20</v>
      </c>
      <c r="P22" s="126">
        <v>200</v>
      </c>
      <c r="Q22" s="20"/>
      <c r="R22" s="131">
        <f t="shared" ref="R22" si="15">N22*Q22/100</f>
        <v>0</v>
      </c>
      <c r="S22" s="126">
        <f t="shared" ref="S22" si="16">N22*100/100</f>
        <v>5510</v>
      </c>
      <c r="T22" s="131">
        <f t="shared" ref="T22" si="17">N22*30/100</f>
        <v>1653</v>
      </c>
      <c r="U22" s="132">
        <f t="shared" ref="U22" si="18">N22+P22+R22+S22+T22</f>
        <v>12873</v>
      </c>
      <c r="V22" s="133">
        <f t="shared" si="5"/>
        <v>2510.2350000000001</v>
      </c>
      <c r="W22" s="132">
        <f t="shared" ref="W22" si="19">U22-V22</f>
        <v>10362.764999999999</v>
      </c>
      <c r="X22" s="128">
        <v>5510</v>
      </c>
      <c r="Y22" s="129">
        <v>21</v>
      </c>
      <c r="Z22" s="126">
        <v>200</v>
      </c>
      <c r="AA22" s="20">
        <v>3</v>
      </c>
      <c r="AB22" s="131">
        <f t="shared" ref="AB22:AB23" si="20">X22*AA22/100</f>
        <v>165.3</v>
      </c>
      <c r="AC22" s="126">
        <f t="shared" ref="AC22:AC23" si="21">X22*100/100</f>
        <v>5510</v>
      </c>
      <c r="AD22" s="131">
        <f t="shared" ref="AD22:AD23" si="22">X22*30/100</f>
        <v>1653</v>
      </c>
      <c r="AE22" s="132">
        <f t="shared" ref="AE22:AE23" si="23">X22+Z22+AB22+AC22+AD22</f>
        <v>13038.3</v>
      </c>
      <c r="AF22" s="133">
        <f t="shared" si="10"/>
        <v>2542.4684999999999</v>
      </c>
      <c r="AG22" s="132">
        <f t="shared" ref="AG22:AG23" si="24">AE22-AF22</f>
        <v>10495.8315</v>
      </c>
    </row>
    <row r="23" spans="1:34" s="125" customFormat="1" ht="26.2">
      <c r="A23" s="125">
        <v>18</v>
      </c>
      <c r="B23" s="126" t="s">
        <v>77</v>
      </c>
      <c r="C23" s="127" t="s">
        <v>69</v>
      </c>
      <c r="D23" s="128"/>
      <c r="E23" s="129"/>
      <c r="F23" s="126"/>
      <c r="G23" s="20"/>
      <c r="H23" s="131"/>
      <c r="I23" s="126"/>
      <c r="J23" s="131"/>
      <c r="K23" s="132"/>
      <c r="L23" s="133"/>
      <c r="M23" s="134"/>
      <c r="N23" s="128"/>
      <c r="O23" s="129"/>
      <c r="P23" s="126"/>
      <c r="Q23" s="20"/>
      <c r="R23" s="131"/>
      <c r="S23" s="126"/>
      <c r="T23" s="131"/>
      <c r="U23" s="132"/>
      <c r="V23" s="133"/>
      <c r="W23" s="132"/>
      <c r="X23" s="128">
        <v>4198.1000000000004</v>
      </c>
      <c r="Y23" s="129">
        <v>16</v>
      </c>
      <c r="Z23" s="131">
        <v>228.57</v>
      </c>
      <c r="AA23" s="20">
        <v>21</v>
      </c>
      <c r="AB23" s="131">
        <f t="shared" si="20"/>
        <v>881.60100000000011</v>
      </c>
      <c r="AC23" s="126">
        <f t="shared" si="21"/>
        <v>4198.1000000000004</v>
      </c>
      <c r="AD23" s="131">
        <f t="shared" si="22"/>
        <v>1259.43</v>
      </c>
      <c r="AE23" s="132">
        <f t="shared" si="23"/>
        <v>10765.801000000001</v>
      </c>
      <c r="AF23" s="133">
        <f t="shared" si="10"/>
        <v>2099.3311950000002</v>
      </c>
      <c r="AG23" s="132">
        <f t="shared" si="24"/>
        <v>8666.4698050000006</v>
      </c>
    </row>
    <row r="24" spans="1:34" s="125" customFormat="1" ht="26.2">
      <c r="A24" s="125">
        <v>18</v>
      </c>
      <c r="B24" s="126" t="s">
        <v>78</v>
      </c>
      <c r="C24" s="127" t="s">
        <v>69</v>
      </c>
      <c r="D24" s="128"/>
      <c r="E24" s="129"/>
      <c r="F24" s="126"/>
      <c r="G24" s="20"/>
      <c r="H24" s="131"/>
      <c r="I24" s="126"/>
      <c r="J24" s="131"/>
      <c r="K24" s="132"/>
      <c r="L24" s="133"/>
      <c r="M24" s="134"/>
      <c r="N24" s="128"/>
      <c r="O24" s="129"/>
      <c r="P24" s="126"/>
      <c r="Q24" s="20"/>
      <c r="R24" s="131"/>
      <c r="S24" s="126"/>
      <c r="T24" s="131"/>
      <c r="U24" s="132"/>
      <c r="V24" s="133"/>
      <c r="W24" s="132"/>
      <c r="X24" s="128">
        <v>4198.1000000000004</v>
      </c>
      <c r="Y24" s="129">
        <v>16</v>
      </c>
      <c r="Z24" s="131">
        <v>152.38</v>
      </c>
      <c r="AA24" s="20">
        <v>12</v>
      </c>
      <c r="AB24" s="131">
        <f t="shared" si="13"/>
        <v>503.77200000000005</v>
      </c>
      <c r="AC24" s="126">
        <f t="shared" si="7"/>
        <v>4198.1000000000004</v>
      </c>
      <c r="AD24" s="131">
        <f t="shared" si="8"/>
        <v>1259.43</v>
      </c>
      <c r="AE24" s="132">
        <f t="shared" si="9"/>
        <v>10311.782000000001</v>
      </c>
      <c r="AF24" s="133">
        <f t="shared" si="10"/>
        <v>2010.7974900000002</v>
      </c>
      <c r="AG24" s="132">
        <f t="shared" si="11"/>
        <v>8300.9845100000002</v>
      </c>
    </row>
    <row r="25" spans="1:34">
      <c r="D25" s="140"/>
      <c r="E25" s="141"/>
    </row>
    <row r="26" spans="1:34">
      <c r="D26" s="108"/>
      <c r="E26" s="108"/>
    </row>
    <row r="27" spans="1:34">
      <c r="D27" s="108"/>
      <c r="E27" s="108"/>
    </row>
    <row r="28" spans="1:34">
      <c r="D28" s="108"/>
      <c r="E28" s="108"/>
    </row>
    <row r="29" spans="1:34">
      <c r="D29" s="108"/>
      <c r="E29" s="108"/>
    </row>
    <row r="30" spans="1:34">
      <c r="D30" s="108"/>
      <c r="E30" s="108"/>
    </row>
    <row r="31" spans="1:34">
      <c r="D31" s="108"/>
      <c r="E31" s="108"/>
    </row>
    <row r="32" spans="1:34">
      <c r="D32" s="108"/>
      <c r="E32" s="108"/>
    </row>
    <row r="33" spans="4:5">
      <c r="D33" s="108"/>
      <c r="E33" s="108"/>
    </row>
    <row r="34" spans="4:5">
      <c r="D34" s="108"/>
      <c r="E34" s="108"/>
    </row>
    <row r="35" spans="4:5">
      <c r="D35" s="108"/>
      <c r="E35" s="108"/>
    </row>
    <row r="36" spans="4:5">
      <c r="D36" s="108"/>
      <c r="E36" s="108"/>
    </row>
    <row r="37" spans="4:5">
      <c r="D37" s="108"/>
      <c r="E37" s="108"/>
    </row>
    <row r="38" spans="4:5">
      <c r="D38" s="108"/>
      <c r="E38" s="108"/>
    </row>
    <row r="39" spans="4:5">
      <c r="D39" s="108"/>
      <c r="E39" s="108"/>
    </row>
    <row r="40" spans="4:5">
      <c r="D40" s="108"/>
      <c r="E40" s="108"/>
    </row>
    <row r="41" spans="4:5">
      <c r="D41" s="108"/>
      <c r="E41" s="108"/>
    </row>
    <row r="42" spans="4:5">
      <c r="D42" s="108"/>
      <c r="E42" s="108"/>
    </row>
    <row r="43" spans="4:5">
      <c r="D43" s="108"/>
      <c r="E43" s="108"/>
    </row>
    <row r="44" spans="4:5">
      <c r="D44" s="108"/>
      <c r="E44" s="108"/>
    </row>
    <row r="45" spans="4:5">
      <c r="D45" s="108"/>
      <c r="E45" s="108"/>
    </row>
    <row r="46" spans="4:5">
      <c r="D46" s="108"/>
      <c r="E46" s="108"/>
    </row>
  </sheetData>
  <mergeCells count="9">
    <mergeCell ref="N3:N4"/>
    <mergeCell ref="O3:W3"/>
    <mergeCell ref="X3:X4"/>
    <mergeCell ref="Y3:AG3"/>
    <mergeCell ref="B1:J1"/>
    <mergeCell ref="A3:A4"/>
    <mergeCell ref="C3:C4"/>
    <mergeCell ref="D3:D4"/>
    <mergeCell ref="E3:M3"/>
  </mergeCells>
  <pageMargins left="0.27559055118110237" right="0.19685039370078741" top="0.74803149606299213" bottom="0.31496062992125984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"/>
  <sheetViews>
    <sheetView topLeftCell="A10" zoomScale="90" zoomScaleNormal="90" workbookViewId="0">
      <selection activeCell="L10" sqref="L10"/>
    </sheetView>
  </sheetViews>
  <sheetFormatPr defaultRowHeight="15.05"/>
  <cols>
    <col min="1" max="1" width="18.44140625" customWidth="1"/>
    <col min="2" max="2" width="16.109375" customWidth="1"/>
    <col min="3" max="3" width="14" customWidth="1"/>
    <col min="4" max="4" width="12.44140625" customWidth="1"/>
    <col min="5" max="5" width="8.109375" customWidth="1"/>
    <col min="6" max="6" width="10.5546875" customWidth="1"/>
    <col min="7" max="7" width="9.44140625" customWidth="1"/>
    <col min="8" max="8" width="10.33203125" customWidth="1"/>
    <col min="9" max="9" width="11.5546875" customWidth="1"/>
    <col min="10" max="10" width="10.109375" customWidth="1"/>
    <col min="11" max="11" width="11.44140625" customWidth="1"/>
    <col min="12" max="12" width="9.6640625" customWidth="1"/>
    <col min="13" max="13" width="11.33203125" customWidth="1"/>
  </cols>
  <sheetData>
    <row r="1" spans="1:13" ht="17.7">
      <c r="A1" s="93" t="s">
        <v>31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3" spans="1:13">
      <c r="L3" s="26" t="s">
        <v>36</v>
      </c>
      <c r="M3" s="26"/>
    </row>
    <row r="4" spans="1:13" ht="26.2" customHeight="1">
      <c r="A4" s="23" t="s">
        <v>23</v>
      </c>
      <c r="B4" s="99" t="s">
        <v>37</v>
      </c>
      <c r="C4" s="99" t="s">
        <v>22</v>
      </c>
      <c r="D4" s="9" t="s">
        <v>2</v>
      </c>
      <c r="E4" s="10"/>
      <c r="F4" s="10"/>
      <c r="G4" s="10"/>
      <c r="H4" s="10"/>
      <c r="I4" s="10"/>
      <c r="J4" s="10"/>
      <c r="K4" s="10"/>
      <c r="L4" s="99" t="s">
        <v>20</v>
      </c>
      <c r="M4" s="99" t="s">
        <v>34</v>
      </c>
    </row>
    <row r="5" spans="1:13" s="1" customFormat="1" ht="72" customHeight="1">
      <c r="A5" s="17"/>
      <c r="B5" s="100"/>
      <c r="C5" s="100"/>
      <c r="D5" s="12" t="s">
        <v>0</v>
      </c>
      <c r="E5" s="12" t="s">
        <v>27</v>
      </c>
      <c r="F5" s="12" t="s">
        <v>1</v>
      </c>
      <c r="G5" s="12" t="s">
        <v>26</v>
      </c>
      <c r="H5" s="12" t="s">
        <v>24</v>
      </c>
      <c r="I5" s="12" t="s">
        <v>30</v>
      </c>
      <c r="J5" s="12" t="s">
        <v>39</v>
      </c>
      <c r="K5" s="12" t="s">
        <v>35</v>
      </c>
      <c r="L5" s="102"/>
      <c r="M5" s="102"/>
    </row>
    <row r="6" spans="1:13" ht="15.75">
      <c r="A6" s="4" t="s">
        <v>5</v>
      </c>
      <c r="B6" s="5">
        <f>(D6+F6+H6+I6+K6)*3+L6+M6</f>
        <v>171200</v>
      </c>
      <c r="C6" s="18">
        <f>D6+F6+H6+I6+K6</f>
        <v>42800</v>
      </c>
      <c r="D6" s="6">
        <v>9400</v>
      </c>
      <c r="E6" s="6"/>
      <c r="F6" s="4">
        <v>500</v>
      </c>
      <c r="G6" s="21">
        <v>50</v>
      </c>
      <c r="H6" s="4">
        <f>D6*0.5</f>
        <v>4700</v>
      </c>
      <c r="I6" s="4">
        <f>D6</f>
        <v>9400</v>
      </c>
      <c r="J6" s="21">
        <v>200</v>
      </c>
      <c r="K6" s="4">
        <f>D6*2</f>
        <v>18800</v>
      </c>
      <c r="L6" s="4"/>
      <c r="M6" s="4">
        <f t="shared" ref="M6:M20" si="0">C6</f>
        <v>42800</v>
      </c>
    </row>
    <row r="7" spans="1:13" ht="15.75">
      <c r="A7" s="4" t="s">
        <v>41</v>
      </c>
      <c r="B7" s="5">
        <f t="shared" ref="B7:B24" si="1">(D7+F7+H7+I7+K7)*3+L7+M7</f>
        <v>162820</v>
      </c>
      <c r="C7" s="18">
        <f>D7+F7+H7+I7+K7</f>
        <v>40705</v>
      </c>
      <c r="D7" s="4">
        <v>6500</v>
      </c>
      <c r="E7" s="4"/>
      <c r="F7" s="4">
        <v>600</v>
      </c>
      <c r="G7" s="21">
        <v>42</v>
      </c>
      <c r="H7" s="4">
        <f>D7*0.42</f>
        <v>2730</v>
      </c>
      <c r="I7" s="4">
        <f t="shared" ref="I7:I24" si="2">D7</f>
        <v>6500</v>
      </c>
      <c r="J7" s="21">
        <v>375</v>
      </c>
      <c r="K7" s="4">
        <f>D7*3.75</f>
        <v>24375</v>
      </c>
      <c r="L7" s="4"/>
      <c r="M7" s="4">
        <f t="shared" si="0"/>
        <v>40705</v>
      </c>
    </row>
    <row r="8" spans="1:13" ht="15.75">
      <c r="A8" s="4" t="s">
        <v>6</v>
      </c>
      <c r="B8" s="5">
        <f t="shared" si="1"/>
        <v>156180</v>
      </c>
      <c r="C8" s="18">
        <f>D8+F8+H8+I8+K8</f>
        <v>39045</v>
      </c>
      <c r="D8" s="4">
        <v>6500</v>
      </c>
      <c r="E8" s="4"/>
      <c r="F8" s="4">
        <v>500</v>
      </c>
      <c r="G8" s="21">
        <v>18</v>
      </c>
      <c r="H8" s="4">
        <f>D8*0.18</f>
        <v>1170</v>
      </c>
      <c r="I8" s="4">
        <f t="shared" si="2"/>
        <v>6500</v>
      </c>
      <c r="J8" s="21">
        <v>375</v>
      </c>
      <c r="K8" s="4">
        <f t="shared" ref="K8:K10" si="3">D8*3.75</f>
        <v>24375</v>
      </c>
      <c r="L8" s="4"/>
      <c r="M8" s="4">
        <f t="shared" si="0"/>
        <v>39045</v>
      </c>
    </row>
    <row r="9" spans="1:13" ht="15.75">
      <c r="A9" s="4" t="s">
        <v>7</v>
      </c>
      <c r="B9" s="5">
        <f t="shared" si="1"/>
        <v>135504</v>
      </c>
      <c r="C9" s="18">
        <f>D9+F9+H9+I9+K9</f>
        <v>33876</v>
      </c>
      <c r="D9" s="4">
        <v>5600</v>
      </c>
      <c r="E9" s="4"/>
      <c r="F9" s="4">
        <v>500</v>
      </c>
      <c r="G9" s="21">
        <v>21</v>
      </c>
      <c r="H9" s="4">
        <f>D9*0.21</f>
        <v>1176</v>
      </c>
      <c r="I9" s="4">
        <f t="shared" si="2"/>
        <v>5600</v>
      </c>
      <c r="J9" s="21">
        <v>375</v>
      </c>
      <c r="K9" s="4">
        <f t="shared" si="3"/>
        <v>21000</v>
      </c>
      <c r="L9" s="4"/>
      <c r="M9" s="4">
        <f t="shared" si="0"/>
        <v>33876</v>
      </c>
    </row>
    <row r="10" spans="1:13" ht="15.75">
      <c r="A10" s="4" t="s">
        <v>17</v>
      </c>
      <c r="B10" s="5">
        <f t="shared" si="1"/>
        <v>136848</v>
      </c>
      <c r="C10" s="18">
        <f>D10+F10+H10+I10+K10</f>
        <v>34212</v>
      </c>
      <c r="D10" s="4">
        <v>5600</v>
      </c>
      <c r="E10" s="4"/>
      <c r="F10" s="4">
        <v>500</v>
      </c>
      <c r="G10" s="21">
        <v>27</v>
      </c>
      <c r="H10" s="4">
        <f>D10*0.27</f>
        <v>1512</v>
      </c>
      <c r="I10" s="4">
        <f t="shared" si="2"/>
        <v>5600</v>
      </c>
      <c r="J10" s="21">
        <v>375</v>
      </c>
      <c r="K10" s="4">
        <f t="shared" si="3"/>
        <v>21000</v>
      </c>
      <c r="L10" s="4"/>
      <c r="M10" s="4">
        <f t="shared" si="0"/>
        <v>34212</v>
      </c>
    </row>
    <row r="11" spans="1:13" ht="15.75">
      <c r="A11" s="4" t="s">
        <v>19</v>
      </c>
      <c r="B11" s="5">
        <f>(D11+E11+F11+H11+I11+K11)*3+L11+M11</f>
        <v>105504.6</v>
      </c>
      <c r="C11" s="18">
        <f>D11+E11+F11+H11+I11+K11</f>
        <v>26376.15</v>
      </c>
      <c r="D11" s="4">
        <v>3801</v>
      </c>
      <c r="E11" s="4">
        <v>2800</v>
      </c>
      <c r="F11" s="4">
        <v>200</v>
      </c>
      <c r="G11" s="21">
        <v>15</v>
      </c>
      <c r="H11" s="4">
        <f>D11*0.15</f>
        <v>570.15</v>
      </c>
      <c r="I11" s="4">
        <f t="shared" si="2"/>
        <v>3801</v>
      </c>
      <c r="J11" s="21">
        <v>400</v>
      </c>
      <c r="K11" s="4">
        <f>D11*4</f>
        <v>15204</v>
      </c>
      <c r="L11" s="4"/>
      <c r="M11" s="4">
        <f t="shared" si="0"/>
        <v>26376.15</v>
      </c>
    </row>
    <row r="12" spans="1:13" ht="15.75">
      <c r="A12" s="4" t="s">
        <v>8</v>
      </c>
      <c r="B12" s="5">
        <f t="shared" si="1"/>
        <v>113439.45999999999</v>
      </c>
      <c r="C12" s="18">
        <f t="shared" ref="C12:C24" si="4">D12+F12+H12+I12+K12</f>
        <v>24588.39</v>
      </c>
      <c r="D12" s="4">
        <v>3801</v>
      </c>
      <c r="E12" s="4"/>
      <c r="F12" s="4">
        <v>300</v>
      </c>
      <c r="G12" s="21">
        <v>39</v>
      </c>
      <c r="H12" s="4">
        <f>D12*0.39</f>
        <v>1482.39</v>
      </c>
      <c r="I12" s="4">
        <f t="shared" si="2"/>
        <v>3801</v>
      </c>
      <c r="J12" s="21">
        <v>400</v>
      </c>
      <c r="K12" s="4">
        <f>D12*4</f>
        <v>15204</v>
      </c>
      <c r="L12" s="4">
        <v>15085.9</v>
      </c>
      <c r="M12" s="4">
        <f t="shared" si="0"/>
        <v>24588.39</v>
      </c>
    </row>
    <row r="13" spans="1:13" ht="15.75">
      <c r="A13" s="4" t="s">
        <v>9</v>
      </c>
      <c r="B13" s="5">
        <f t="shared" si="1"/>
        <v>99626</v>
      </c>
      <c r="C13" s="18">
        <f t="shared" si="4"/>
        <v>24906.5</v>
      </c>
      <c r="D13" s="4">
        <v>3801</v>
      </c>
      <c r="E13" s="4"/>
      <c r="F13" s="4">
        <v>200</v>
      </c>
      <c r="G13" s="21">
        <v>50</v>
      </c>
      <c r="H13" s="4">
        <f>D13*0.5</f>
        <v>1900.5</v>
      </c>
      <c r="I13" s="4">
        <f t="shared" si="2"/>
        <v>3801</v>
      </c>
      <c r="J13" s="21">
        <v>400</v>
      </c>
      <c r="K13" s="4">
        <f>D13*4</f>
        <v>15204</v>
      </c>
      <c r="L13" s="4"/>
      <c r="M13" s="4">
        <f t="shared" si="0"/>
        <v>24906.5</v>
      </c>
    </row>
    <row r="14" spans="1:13" ht="15.75" customHeight="1">
      <c r="A14" s="4" t="s">
        <v>10</v>
      </c>
      <c r="B14" s="5">
        <f t="shared" si="1"/>
        <v>84422</v>
      </c>
      <c r="C14" s="18">
        <f t="shared" si="4"/>
        <v>21105.5</v>
      </c>
      <c r="D14" s="4">
        <v>3801</v>
      </c>
      <c r="E14" s="4"/>
      <c r="F14" s="4">
        <v>200</v>
      </c>
      <c r="G14" s="21"/>
      <c r="H14" s="4"/>
      <c r="I14" s="4">
        <f t="shared" si="2"/>
        <v>3801</v>
      </c>
      <c r="J14" s="21">
        <v>350</v>
      </c>
      <c r="K14" s="4">
        <f>D14*3.5</f>
        <v>13303.5</v>
      </c>
      <c r="L14" s="4"/>
      <c r="M14" s="4">
        <f t="shared" si="0"/>
        <v>21105.5</v>
      </c>
    </row>
    <row r="15" spans="1:13" ht="15.75">
      <c r="A15" s="4" t="s">
        <v>11</v>
      </c>
      <c r="B15" s="5">
        <f t="shared" si="1"/>
        <v>90639.32</v>
      </c>
      <c r="C15" s="18">
        <f t="shared" si="4"/>
        <v>22659.83</v>
      </c>
      <c r="D15" s="4">
        <v>3801</v>
      </c>
      <c r="E15" s="4"/>
      <c r="F15" s="4">
        <v>500</v>
      </c>
      <c r="G15" s="21">
        <v>33</v>
      </c>
      <c r="H15" s="4">
        <f>D15*0.33</f>
        <v>1254.3300000000002</v>
      </c>
      <c r="I15" s="4">
        <f t="shared" si="2"/>
        <v>3801</v>
      </c>
      <c r="J15" s="21">
        <v>350</v>
      </c>
      <c r="K15" s="4">
        <f>D15*3.5</f>
        <v>13303.5</v>
      </c>
      <c r="L15" s="4"/>
      <c r="M15" s="4">
        <f t="shared" si="0"/>
        <v>22659.83</v>
      </c>
    </row>
    <row r="16" spans="1:13" ht="15.75">
      <c r="A16" s="4" t="s">
        <v>12</v>
      </c>
      <c r="B16" s="5">
        <f t="shared" si="1"/>
        <v>97497.44</v>
      </c>
      <c r="C16" s="18">
        <f t="shared" si="4"/>
        <v>24374.36</v>
      </c>
      <c r="D16" s="4">
        <v>3801</v>
      </c>
      <c r="E16" s="4"/>
      <c r="F16" s="4">
        <v>200</v>
      </c>
      <c r="G16" s="21">
        <v>36</v>
      </c>
      <c r="H16" s="4">
        <f>D16*0.36</f>
        <v>1368.36</v>
      </c>
      <c r="I16" s="4">
        <f t="shared" si="2"/>
        <v>3801</v>
      </c>
      <c r="J16" s="21">
        <v>400</v>
      </c>
      <c r="K16" s="4">
        <f>D16*4</f>
        <v>15204</v>
      </c>
      <c r="L16" s="4"/>
      <c r="M16" s="4">
        <f t="shared" si="0"/>
        <v>24374.36</v>
      </c>
    </row>
    <row r="17" spans="1:13" ht="15.75" customHeight="1">
      <c r="A17" s="4" t="s">
        <v>13</v>
      </c>
      <c r="B17" s="5">
        <f t="shared" si="1"/>
        <v>84878.12</v>
      </c>
      <c r="C17" s="18">
        <f t="shared" si="4"/>
        <v>21219.53</v>
      </c>
      <c r="D17" s="4">
        <v>3801</v>
      </c>
      <c r="E17" s="4"/>
      <c r="F17" s="4">
        <v>200</v>
      </c>
      <c r="G17" s="21">
        <v>3</v>
      </c>
      <c r="H17" s="4">
        <f>D17*0.03</f>
        <v>114.03</v>
      </c>
      <c r="I17" s="4">
        <f t="shared" si="2"/>
        <v>3801</v>
      </c>
      <c r="J17" s="21">
        <v>350</v>
      </c>
      <c r="K17" s="4">
        <f>D17*3.5</f>
        <v>13303.5</v>
      </c>
      <c r="L17" s="4"/>
      <c r="M17" s="4">
        <f t="shared" si="0"/>
        <v>21219.53</v>
      </c>
    </row>
    <row r="18" spans="1:13" ht="15.75">
      <c r="A18" s="4" t="s">
        <v>14</v>
      </c>
      <c r="B18" s="5">
        <f t="shared" si="1"/>
        <v>85790.36</v>
      </c>
      <c r="C18" s="18">
        <f t="shared" si="4"/>
        <v>21447.59</v>
      </c>
      <c r="D18" s="4">
        <v>3801</v>
      </c>
      <c r="E18" s="4"/>
      <c r="F18" s="4">
        <v>200</v>
      </c>
      <c r="G18" s="21">
        <v>9</v>
      </c>
      <c r="H18" s="4">
        <f>D18*0.09</f>
        <v>342.09</v>
      </c>
      <c r="I18" s="4">
        <f t="shared" si="2"/>
        <v>3801</v>
      </c>
      <c r="J18" s="21">
        <v>350</v>
      </c>
      <c r="K18" s="4">
        <f>D18*3.5</f>
        <v>13303.5</v>
      </c>
      <c r="L18" s="4"/>
      <c r="M18" s="4">
        <f t="shared" si="0"/>
        <v>21447.59</v>
      </c>
    </row>
    <row r="19" spans="1:13" ht="15.75">
      <c r="A19" s="4" t="s">
        <v>15</v>
      </c>
      <c r="B19" s="5">
        <f t="shared" si="1"/>
        <v>96025</v>
      </c>
      <c r="C19" s="18">
        <f t="shared" si="4"/>
        <v>21105.5</v>
      </c>
      <c r="D19" s="4">
        <v>3801</v>
      </c>
      <c r="E19" s="4"/>
      <c r="F19" s="4">
        <v>200</v>
      </c>
      <c r="G19" s="21"/>
      <c r="H19" s="4"/>
      <c r="I19" s="4">
        <f t="shared" si="2"/>
        <v>3801</v>
      </c>
      <c r="J19" s="21">
        <v>350</v>
      </c>
      <c r="K19" s="4">
        <f>D19*3.5</f>
        <v>13303.5</v>
      </c>
      <c r="L19" s="4">
        <v>11603</v>
      </c>
      <c r="M19" s="4">
        <f t="shared" si="0"/>
        <v>21105.5</v>
      </c>
    </row>
    <row r="20" spans="1:13" ht="15.75">
      <c r="A20" s="4" t="s">
        <v>18</v>
      </c>
      <c r="B20" s="5">
        <f t="shared" si="1"/>
        <v>74946.239999999991</v>
      </c>
      <c r="C20" s="18">
        <f t="shared" si="4"/>
        <v>18736.559999999998</v>
      </c>
      <c r="D20" s="4">
        <v>3352</v>
      </c>
      <c r="E20" s="4"/>
      <c r="F20" s="4">
        <v>200</v>
      </c>
      <c r="G20" s="21">
        <v>3</v>
      </c>
      <c r="H20" s="4">
        <f>D20*0.03</f>
        <v>100.56</v>
      </c>
      <c r="I20" s="4">
        <f t="shared" si="2"/>
        <v>3352</v>
      </c>
      <c r="J20" s="21">
        <v>350</v>
      </c>
      <c r="K20" s="4">
        <f>D20*3.5</f>
        <v>11732</v>
      </c>
      <c r="L20" s="4"/>
      <c r="M20" s="4">
        <f t="shared" si="0"/>
        <v>18736.559999999998</v>
      </c>
    </row>
    <row r="21" spans="1:13" ht="15.75">
      <c r="A21" s="4" t="s">
        <v>28</v>
      </c>
      <c r="B21" s="5">
        <f>(D21+F21+H21+I21+K21)*1+L21+M21</f>
        <v>41312</v>
      </c>
      <c r="C21" s="18">
        <f t="shared" si="4"/>
        <v>20312</v>
      </c>
      <c r="D21" s="4">
        <v>3352</v>
      </c>
      <c r="E21" s="4"/>
      <c r="F21" s="4">
        <v>200</v>
      </c>
      <c r="G21" s="21"/>
      <c r="H21" s="4"/>
      <c r="I21" s="4">
        <f t="shared" si="2"/>
        <v>3352</v>
      </c>
      <c r="J21" s="21">
        <v>400</v>
      </c>
      <c r="K21" s="4">
        <f>D21*4</f>
        <v>13408</v>
      </c>
      <c r="L21" s="4"/>
      <c r="M21" s="4">
        <v>21000</v>
      </c>
    </row>
    <row r="22" spans="1:13" ht="15.75">
      <c r="A22" s="4" t="s">
        <v>28</v>
      </c>
      <c r="B22" s="5">
        <f>(D22+F22+H22+I22+K22)*2+L22+M22</f>
        <v>46012</v>
      </c>
      <c r="C22" s="18">
        <f t="shared" si="4"/>
        <v>23006</v>
      </c>
      <c r="D22" s="4">
        <v>3801</v>
      </c>
      <c r="E22" s="4"/>
      <c r="F22" s="4">
        <v>200</v>
      </c>
      <c r="G22" s="21"/>
      <c r="H22" s="4"/>
      <c r="I22" s="4">
        <f t="shared" si="2"/>
        <v>3801</v>
      </c>
      <c r="J22" s="21">
        <v>400</v>
      </c>
      <c r="K22" s="4">
        <f>D22*4</f>
        <v>15204</v>
      </c>
      <c r="L22" s="4"/>
      <c r="M22" s="4"/>
    </row>
    <row r="23" spans="1:13" ht="15.75">
      <c r="A23" s="4" t="s">
        <v>16</v>
      </c>
      <c r="B23" s="5">
        <f t="shared" si="1"/>
        <v>18000</v>
      </c>
      <c r="C23" s="18">
        <f t="shared" si="4"/>
        <v>4000</v>
      </c>
      <c r="D23" s="4">
        <v>4000</v>
      </c>
      <c r="E23" s="4"/>
      <c r="F23" s="4"/>
      <c r="G23" s="21"/>
      <c r="H23" s="4"/>
      <c r="I23" s="4"/>
      <c r="J23" s="21"/>
      <c r="K23" s="4"/>
      <c r="L23" s="4"/>
      <c r="M23" s="4">
        <v>6000</v>
      </c>
    </row>
    <row r="24" spans="1:13" ht="15.75">
      <c r="A24" s="4" t="s">
        <v>21</v>
      </c>
      <c r="B24" s="5">
        <f t="shared" si="1"/>
        <v>100016.04000000001</v>
      </c>
      <c r="C24" s="18">
        <f t="shared" si="4"/>
        <v>21903.71</v>
      </c>
      <c r="D24" s="4">
        <v>3801</v>
      </c>
      <c r="E24" s="4"/>
      <c r="F24" s="4">
        <v>200</v>
      </c>
      <c r="G24" s="21">
        <v>21</v>
      </c>
      <c r="H24" s="4">
        <f>D24*0.21</f>
        <v>798.20999999999992</v>
      </c>
      <c r="I24" s="4">
        <f t="shared" si="2"/>
        <v>3801</v>
      </c>
      <c r="J24" s="21">
        <v>350</v>
      </c>
      <c r="K24" s="4">
        <f>D24*3.5</f>
        <v>13303.5</v>
      </c>
      <c r="L24" s="4">
        <v>12401.2</v>
      </c>
      <c r="M24" s="4">
        <f>C24</f>
        <v>21903.71</v>
      </c>
    </row>
    <row r="25" spans="1:13" s="2" customFormat="1" ht="15.75">
      <c r="A25" s="5" t="s">
        <v>3</v>
      </c>
      <c r="B25" s="5">
        <f t="shared" ref="B25:M25" si="5">SUM(B6:B24)</f>
        <v>1900660.58</v>
      </c>
      <c r="C25" s="19">
        <f t="shared" si="5"/>
        <v>486379.62000000005</v>
      </c>
      <c r="D25" s="5">
        <f t="shared" si="5"/>
        <v>86115</v>
      </c>
      <c r="E25" s="5"/>
      <c r="F25" s="5">
        <f t="shared" si="5"/>
        <v>5600</v>
      </c>
      <c r="G25" s="22"/>
      <c r="H25" s="5">
        <f t="shared" si="5"/>
        <v>19218.62</v>
      </c>
      <c r="I25" s="5">
        <f t="shared" si="5"/>
        <v>82115</v>
      </c>
      <c r="J25" s="5">
        <f t="shared" si="5"/>
        <v>6550</v>
      </c>
      <c r="K25" s="5">
        <f t="shared" si="5"/>
        <v>290531</v>
      </c>
      <c r="L25" s="5">
        <f t="shared" si="5"/>
        <v>39090.100000000006</v>
      </c>
      <c r="M25" s="5">
        <f t="shared" si="5"/>
        <v>466061.62000000005</v>
      </c>
    </row>
    <row r="26" spans="1:13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13" ht="18.350000000000001">
      <c r="A27" s="7"/>
      <c r="B27" s="28"/>
      <c r="C27" s="28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13" ht="18.350000000000001">
      <c r="A28" s="7" t="s">
        <v>38</v>
      </c>
      <c r="B28" s="8">
        <f>166848+906700+825600</f>
        <v>1899148</v>
      </c>
      <c r="C28" s="8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1:13">
      <c r="D29" s="15"/>
      <c r="E29" s="15"/>
    </row>
    <row r="30" spans="1:13">
      <c r="B30" s="14">
        <f>B28-B25</f>
        <v>-1512.5800000000745</v>
      </c>
      <c r="C30" s="30" t="s">
        <v>42</v>
      </c>
    </row>
    <row r="31" spans="1:13">
      <c r="A31" s="3"/>
    </row>
  </sheetData>
  <mergeCells count="5">
    <mergeCell ref="B4:B5"/>
    <mergeCell ref="C4:C5"/>
    <mergeCell ref="A1:M1"/>
    <mergeCell ref="L4:L5"/>
    <mergeCell ref="M4:M5"/>
  </mergeCells>
  <pageMargins left="0.37" right="0.21" top="0.28999999999999998" bottom="0.75" header="0.3" footer="0.3"/>
  <pageSetup paperSize="9" scale="9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4"/>
  <sheetViews>
    <sheetView workbookViewId="0">
      <selection activeCell="G38" sqref="G38"/>
    </sheetView>
  </sheetViews>
  <sheetFormatPr defaultRowHeight="15.05"/>
  <cols>
    <col min="1" max="1" width="18.6640625" customWidth="1"/>
    <col min="2" max="2" width="12.5546875" customWidth="1"/>
    <col min="3" max="3" width="11.44140625" customWidth="1"/>
    <col min="4" max="4" width="10.6640625" customWidth="1"/>
    <col min="5" max="5" width="8.88671875" customWidth="1"/>
    <col min="7" max="7" width="7.88671875" customWidth="1"/>
    <col min="9" max="9" width="10" customWidth="1"/>
    <col min="10" max="10" width="8.33203125" customWidth="1"/>
    <col min="11" max="11" width="11.5546875" customWidth="1"/>
    <col min="12" max="12" width="10.44140625" customWidth="1"/>
    <col min="13" max="13" width="12.88671875" customWidth="1"/>
  </cols>
  <sheetData>
    <row r="1" spans="1:13" ht="17.7">
      <c r="A1" s="93" t="s">
        <v>49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3" spans="1:13">
      <c r="L3" s="26" t="s">
        <v>43</v>
      </c>
      <c r="M3" s="26"/>
    </row>
    <row r="4" spans="1:13" ht="15.75">
      <c r="A4" s="23" t="s">
        <v>23</v>
      </c>
      <c r="B4" s="99" t="s">
        <v>32</v>
      </c>
      <c r="C4" s="99" t="s">
        <v>22</v>
      </c>
      <c r="D4" s="9" t="s">
        <v>2</v>
      </c>
      <c r="E4" s="10"/>
      <c r="F4" s="10"/>
      <c r="G4" s="10"/>
      <c r="H4" s="10"/>
      <c r="I4" s="10"/>
      <c r="J4" s="10"/>
      <c r="K4" s="10"/>
      <c r="L4" s="10"/>
      <c r="M4" s="11"/>
    </row>
    <row r="5" spans="1:13" ht="75.3">
      <c r="A5" s="17"/>
      <c r="B5" s="103"/>
      <c r="C5" s="103"/>
      <c r="D5" s="12" t="s">
        <v>0</v>
      </c>
      <c r="E5" s="12" t="s">
        <v>27</v>
      </c>
      <c r="F5" s="12" t="s">
        <v>1</v>
      </c>
      <c r="G5" s="12" t="s">
        <v>25</v>
      </c>
      <c r="H5" s="12" t="s">
        <v>24</v>
      </c>
      <c r="I5" s="12" t="s">
        <v>30</v>
      </c>
      <c r="J5" s="12" t="s">
        <v>29</v>
      </c>
      <c r="K5" s="12" t="s">
        <v>35</v>
      </c>
      <c r="L5" s="12" t="s">
        <v>20</v>
      </c>
      <c r="M5" s="12" t="s">
        <v>33</v>
      </c>
    </row>
    <row r="6" spans="1:13" ht="15.75">
      <c r="A6" s="38" t="s">
        <v>5</v>
      </c>
      <c r="B6" s="39">
        <f>(D6+F6+H6+I6+K6)*3+L6+M6</f>
        <v>128400</v>
      </c>
      <c r="C6" s="40">
        <f>D6+F6+H6+I6+K6</f>
        <v>42800</v>
      </c>
      <c r="D6" s="41">
        <v>9400</v>
      </c>
      <c r="E6" s="42"/>
      <c r="F6" s="38">
        <v>500</v>
      </c>
      <c r="G6" s="43">
        <v>50</v>
      </c>
      <c r="H6" s="38">
        <f>D6*0.5</f>
        <v>4700</v>
      </c>
      <c r="I6" s="38">
        <f>D6</f>
        <v>9400</v>
      </c>
      <c r="J6" s="43">
        <v>200</v>
      </c>
      <c r="K6" s="38">
        <f>D6*2</f>
        <v>18800</v>
      </c>
      <c r="L6" s="4"/>
      <c r="M6" s="4"/>
    </row>
    <row r="7" spans="1:13" s="37" customFormat="1" ht="15.75">
      <c r="A7" s="25" t="s">
        <v>45</v>
      </c>
      <c r="B7" s="32"/>
      <c r="C7" s="33">
        <f>D7+F7+H7+I7+K7</f>
        <v>51540</v>
      </c>
      <c r="D7" s="34">
        <v>11600</v>
      </c>
      <c r="E7" s="35"/>
      <c r="F7" s="25">
        <v>500</v>
      </c>
      <c r="G7" s="36">
        <v>40</v>
      </c>
      <c r="H7" s="25">
        <v>4640</v>
      </c>
      <c r="I7" s="25">
        <f>D7</f>
        <v>11600</v>
      </c>
      <c r="J7" s="36">
        <v>200</v>
      </c>
      <c r="K7" s="25">
        <f>D7*2</f>
        <v>23200</v>
      </c>
      <c r="L7" s="25"/>
      <c r="M7" s="25"/>
    </row>
    <row r="8" spans="1:13" ht="15.75">
      <c r="A8" s="38" t="s">
        <v>41</v>
      </c>
      <c r="B8" s="39">
        <f t="shared" ref="B8:B29" si="0">(D8+F8+H8+I8+K8)*3+L8+M8</f>
        <v>126990</v>
      </c>
      <c r="C8" s="40">
        <f t="shared" ref="C8:C29" si="1">D8+F8+H8+I8+K8</f>
        <v>42330</v>
      </c>
      <c r="D8" s="38">
        <v>6500</v>
      </c>
      <c r="E8" s="38"/>
      <c r="F8" s="38">
        <v>600</v>
      </c>
      <c r="G8" s="43">
        <v>42</v>
      </c>
      <c r="H8" s="38">
        <f>D8*0.42</f>
        <v>2730</v>
      </c>
      <c r="I8" s="38">
        <f t="shared" ref="I8:I29" si="2">D8</f>
        <v>6500</v>
      </c>
      <c r="J8" s="43">
        <v>400</v>
      </c>
      <c r="K8" s="38">
        <f>D8*4</f>
        <v>26000</v>
      </c>
      <c r="L8" s="4"/>
      <c r="M8" s="4"/>
    </row>
    <row r="9" spans="1:13" ht="15.75">
      <c r="A9" s="38" t="s">
        <v>6</v>
      </c>
      <c r="B9" s="39">
        <f t="shared" si="0"/>
        <v>122010</v>
      </c>
      <c r="C9" s="40">
        <f t="shared" si="1"/>
        <v>40670</v>
      </c>
      <c r="D9" s="38">
        <v>6500</v>
      </c>
      <c r="E9" s="38"/>
      <c r="F9" s="38">
        <v>500</v>
      </c>
      <c r="G9" s="43">
        <v>18</v>
      </c>
      <c r="H9" s="38">
        <f>D9*0.18</f>
        <v>1170</v>
      </c>
      <c r="I9" s="38">
        <f t="shared" si="2"/>
        <v>6500</v>
      </c>
      <c r="J9" s="43">
        <v>400</v>
      </c>
      <c r="K9" s="38">
        <f t="shared" ref="K9:K15" si="3">D9*4</f>
        <v>26000</v>
      </c>
      <c r="L9" s="4"/>
      <c r="M9" s="4"/>
    </row>
    <row r="10" spans="1:13" ht="15.75">
      <c r="A10" s="25" t="s">
        <v>46</v>
      </c>
      <c r="B10" s="5"/>
      <c r="C10" s="33">
        <f t="shared" si="1"/>
        <v>28775</v>
      </c>
      <c r="D10" s="25">
        <v>6500</v>
      </c>
      <c r="E10" s="25"/>
      <c r="F10" s="25">
        <v>500</v>
      </c>
      <c r="G10" s="36">
        <v>35</v>
      </c>
      <c r="H10" s="25">
        <v>2275</v>
      </c>
      <c r="I10" s="25">
        <f t="shared" si="2"/>
        <v>6500</v>
      </c>
      <c r="J10" s="36">
        <v>200</v>
      </c>
      <c r="K10" s="25">
        <f>D10*2</f>
        <v>13000</v>
      </c>
      <c r="L10" s="25"/>
      <c r="M10" s="25"/>
    </row>
    <row r="11" spans="1:13" ht="15.75">
      <c r="A11" s="25" t="s">
        <v>47</v>
      </c>
      <c r="B11" s="5"/>
      <c r="C11" s="33">
        <f t="shared" si="1"/>
        <v>19832</v>
      </c>
      <c r="D11" s="25">
        <v>4800</v>
      </c>
      <c r="E11" s="25"/>
      <c r="F11" s="25">
        <v>200</v>
      </c>
      <c r="G11" s="36">
        <v>9</v>
      </c>
      <c r="H11" s="25">
        <v>432</v>
      </c>
      <c r="I11" s="25">
        <f t="shared" si="2"/>
        <v>4800</v>
      </c>
      <c r="J11" s="36">
        <v>200</v>
      </c>
      <c r="K11" s="25">
        <f t="shared" ref="K11:K13" si="4">D11*2</f>
        <v>9600</v>
      </c>
      <c r="L11" s="25"/>
      <c r="M11" s="25"/>
    </row>
    <row r="12" spans="1:13" ht="15.75">
      <c r="A12" s="25" t="s">
        <v>47</v>
      </c>
      <c r="B12" s="5"/>
      <c r="C12" s="33">
        <f t="shared" si="1"/>
        <v>19544</v>
      </c>
      <c r="D12" s="25">
        <v>4800</v>
      </c>
      <c r="E12" s="25"/>
      <c r="F12" s="25">
        <v>200</v>
      </c>
      <c r="G12" s="36">
        <v>3</v>
      </c>
      <c r="H12" s="25">
        <v>144</v>
      </c>
      <c r="I12" s="25">
        <f t="shared" si="2"/>
        <v>4800</v>
      </c>
      <c r="J12" s="36">
        <v>200</v>
      </c>
      <c r="K12" s="25">
        <f t="shared" si="4"/>
        <v>9600</v>
      </c>
      <c r="L12" s="25"/>
      <c r="M12" s="25"/>
    </row>
    <row r="13" spans="1:13" ht="15.75">
      <c r="A13" s="25" t="s">
        <v>48</v>
      </c>
      <c r="B13" s="5"/>
      <c r="C13" s="33">
        <f t="shared" si="1"/>
        <v>17944</v>
      </c>
      <c r="D13" s="25">
        <v>4400</v>
      </c>
      <c r="E13" s="25"/>
      <c r="F13" s="25">
        <v>200</v>
      </c>
      <c r="G13" s="36">
        <v>3</v>
      </c>
      <c r="H13" s="25">
        <v>144</v>
      </c>
      <c r="I13" s="25">
        <f t="shared" si="2"/>
        <v>4400</v>
      </c>
      <c r="J13" s="36">
        <v>200</v>
      </c>
      <c r="K13" s="25">
        <f t="shared" si="4"/>
        <v>8800</v>
      </c>
      <c r="L13" s="25"/>
      <c r="M13" s="25"/>
    </row>
    <row r="14" spans="1:13" ht="15.75">
      <c r="A14" s="38" t="s">
        <v>7</v>
      </c>
      <c r="B14" s="39">
        <f t="shared" si="0"/>
        <v>105828</v>
      </c>
      <c r="C14" s="40">
        <f t="shared" si="1"/>
        <v>35276</v>
      </c>
      <c r="D14" s="38">
        <v>5600</v>
      </c>
      <c r="E14" s="38"/>
      <c r="F14" s="38">
        <v>500</v>
      </c>
      <c r="G14" s="43">
        <v>21</v>
      </c>
      <c r="H14" s="38">
        <f>D14*0.21</f>
        <v>1176</v>
      </c>
      <c r="I14" s="38">
        <f t="shared" si="2"/>
        <v>5600</v>
      </c>
      <c r="J14" s="43">
        <v>400</v>
      </c>
      <c r="K14" s="38">
        <f t="shared" si="3"/>
        <v>22400</v>
      </c>
      <c r="L14" s="4"/>
      <c r="M14" s="4"/>
    </row>
    <row r="15" spans="1:13" ht="15.75">
      <c r="A15" s="38" t="s">
        <v>17</v>
      </c>
      <c r="B15" s="39">
        <f t="shared" si="0"/>
        <v>106836</v>
      </c>
      <c r="C15" s="40">
        <f t="shared" si="1"/>
        <v>35612</v>
      </c>
      <c r="D15" s="38">
        <v>5600</v>
      </c>
      <c r="E15" s="38"/>
      <c r="F15" s="38">
        <v>500</v>
      </c>
      <c r="G15" s="43">
        <v>27</v>
      </c>
      <c r="H15" s="38">
        <f>D15*0.27</f>
        <v>1512</v>
      </c>
      <c r="I15" s="38">
        <f t="shared" si="2"/>
        <v>5600</v>
      </c>
      <c r="J15" s="43">
        <v>400</v>
      </c>
      <c r="K15" s="38">
        <f t="shared" si="3"/>
        <v>22400</v>
      </c>
      <c r="L15" s="4"/>
      <c r="M15" s="4"/>
    </row>
    <row r="16" spans="1:13" ht="15.75">
      <c r="A16" s="38" t="s">
        <v>19</v>
      </c>
      <c r="B16" s="39">
        <f>(D16+E16+F16+H16+I16+K16)*3+L16+M16</f>
        <v>81979.200000000012</v>
      </c>
      <c r="C16" s="40">
        <f>D16+E16+F16+H16+I16+K16</f>
        <v>27326.400000000001</v>
      </c>
      <c r="D16" s="38">
        <v>3801</v>
      </c>
      <c r="E16" s="38">
        <v>2800</v>
      </c>
      <c r="F16" s="38">
        <v>200</v>
      </c>
      <c r="G16" s="43">
        <v>15</v>
      </c>
      <c r="H16" s="38">
        <f>D16*0.15</f>
        <v>570.15</v>
      </c>
      <c r="I16" s="38">
        <f t="shared" si="2"/>
        <v>3801</v>
      </c>
      <c r="J16" s="43">
        <v>425</v>
      </c>
      <c r="K16" s="38">
        <f>D16*4.25</f>
        <v>16154.25</v>
      </c>
      <c r="L16" s="4"/>
      <c r="M16" s="4"/>
    </row>
    <row r="17" spans="1:13" ht="15.75">
      <c r="A17" s="38" t="s">
        <v>8</v>
      </c>
      <c r="B17" s="39">
        <f t="shared" si="0"/>
        <v>76615.92</v>
      </c>
      <c r="C17" s="40">
        <f t="shared" si="1"/>
        <v>25538.639999999999</v>
      </c>
      <c r="D17" s="38">
        <v>3801</v>
      </c>
      <c r="E17" s="38"/>
      <c r="F17" s="38">
        <v>300</v>
      </c>
      <c r="G17" s="43">
        <v>39</v>
      </c>
      <c r="H17" s="38">
        <f>D17*0.39</f>
        <v>1482.39</v>
      </c>
      <c r="I17" s="38">
        <f t="shared" si="2"/>
        <v>3801</v>
      </c>
      <c r="J17" s="43">
        <v>425</v>
      </c>
      <c r="K17" s="38">
        <f t="shared" ref="K17:K18" si="5">D17*4.25</f>
        <v>16154.25</v>
      </c>
      <c r="L17" s="25"/>
      <c r="M17" s="4"/>
    </row>
    <row r="18" spans="1:13" ht="15.75">
      <c r="A18" s="38" t="s">
        <v>9</v>
      </c>
      <c r="B18" s="39">
        <f t="shared" si="0"/>
        <v>77870.25</v>
      </c>
      <c r="C18" s="40">
        <f t="shared" si="1"/>
        <v>25956.75</v>
      </c>
      <c r="D18" s="38">
        <v>3801</v>
      </c>
      <c r="E18" s="38"/>
      <c r="F18" s="38">
        <v>300</v>
      </c>
      <c r="G18" s="43">
        <v>50</v>
      </c>
      <c r="H18" s="38">
        <f>D18*0.5</f>
        <v>1900.5</v>
      </c>
      <c r="I18" s="38">
        <f t="shared" si="2"/>
        <v>3801</v>
      </c>
      <c r="J18" s="43">
        <v>425</v>
      </c>
      <c r="K18" s="38">
        <f t="shared" si="5"/>
        <v>16154.25</v>
      </c>
      <c r="L18" s="4"/>
      <c r="M18" s="4"/>
    </row>
    <row r="19" spans="1:13" ht="15.75" hidden="1">
      <c r="A19" s="38" t="s">
        <v>10</v>
      </c>
      <c r="B19" s="39">
        <f t="shared" si="0"/>
        <v>66167.25</v>
      </c>
      <c r="C19" s="40">
        <f t="shared" si="1"/>
        <v>22055.75</v>
      </c>
      <c r="D19" s="38">
        <v>3801</v>
      </c>
      <c r="E19" s="38"/>
      <c r="F19" s="38">
        <v>200</v>
      </c>
      <c r="G19" s="43"/>
      <c r="H19" s="38"/>
      <c r="I19" s="38">
        <f t="shared" si="2"/>
        <v>3801</v>
      </c>
      <c r="J19" s="43">
        <v>375</v>
      </c>
      <c r="K19" s="38">
        <f>D19*3.75</f>
        <v>14253.75</v>
      </c>
      <c r="L19" s="4"/>
      <c r="M19" s="4"/>
    </row>
    <row r="20" spans="1:13" ht="15.75" hidden="1">
      <c r="A20" s="38" t="s">
        <v>11</v>
      </c>
      <c r="B20" s="39">
        <f t="shared" si="0"/>
        <v>70830.240000000005</v>
      </c>
      <c r="C20" s="40">
        <f t="shared" si="1"/>
        <v>23610.080000000002</v>
      </c>
      <c r="D20" s="38">
        <v>3801</v>
      </c>
      <c r="E20" s="38"/>
      <c r="F20" s="38">
        <v>500</v>
      </c>
      <c r="G20" s="43">
        <v>33</v>
      </c>
      <c r="H20" s="38">
        <f>D20*0.33</f>
        <v>1254.3300000000002</v>
      </c>
      <c r="I20" s="38">
        <f t="shared" si="2"/>
        <v>3801</v>
      </c>
      <c r="J20" s="43">
        <v>375</v>
      </c>
      <c r="K20" s="38">
        <f>D20*3.75</f>
        <v>14253.75</v>
      </c>
      <c r="L20" s="4"/>
      <c r="M20" s="4"/>
    </row>
    <row r="21" spans="1:13" ht="15.75" hidden="1">
      <c r="A21" s="38" t="s">
        <v>12</v>
      </c>
      <c r="B21" s="39">
        <f t="shared" si="0"/>
        <v>75973.83</v>
      </c>
      <c r="C21" s="40">
        <f t="shared" si="1"/>
        <v>25324.61</v>
      </c>
      <c r="D21" s="38">
        <v>3801</v>
      </c>
      <c r="E21" s="38"/>
      <c r="F21" s="38">
        <v>200</v>
      </c>
      <c r="G21" s="43">
        <v>36</v>
      </c>
      <c r="H21" s="38">
        <f>D21*0.36</f>
        <v>1368.36</v>
      </c>
      <c r="I21" s="38">
        <f t="shared" si="2"/>
        <v>3801</v>
      </c>
      <c r="J21" s="43">
        <v>425</v>
      </c>
      <c r="K21" s="38">
        <f>D21*4.25</f>
        <v>16154.25</v>
      </c>
      <c r="L21" s="4"/>
      <c r="M21" s="4"/>
    </row>
    <row r="22" spans="1:13" ht="15.75" hidden="1">
      <c r="A22" s="38" t="s">
        <v>13</v>
      </c>
      <c r="B22" s="39">
        <f t="shared" si="0"/>
        <v>66509.34</v>
      </c>
      <c r="C22" s="40">
        <f t="shared" si="1"/>
        <v>22169.78</v>
      </c>
      <c r="D22" s="38">
        <v>3801</v>
      </c>
      <c r="E22" s="38"/>
      <c r="F22" s="38">
        <v>200</v>
      </c>
      <c r="G22" s="43">
        <v>3</v>
      </c>
      <c r="H22" s="38">
        <f>D22*0.03</f>
        <v>114.03</v>
      </c>
      <c r="I22" s="38">
        <f t="shared" si="2"/>
        <v>3801</v>
      </c>
      <c r="J22" s="43">
        <v>375</v>
      </c>
      <c r="K22" s="38">
        <f>D22*3.75</f>
        <v>14253.75</v>
      </c>
      <c r="L22" s="4"/>
      <c r="M22" s="4"/>
    </row>
    <row r="23" spans="1:13" ht="15.75" hidden="1">
      <c r="A23" s="38" t="s">
        <v>14</v>
      </c>
      <c r="B23" s="39">
        <f t="shared" si="0"/>
        <v>67193.52</v>
      </c>
      <c r="C23" s="40">
        <f t="shared" si="1"/>
        <v>22397.84</v>
      </c>
      <c r="D23" s="38">
        <v>3801</v>
      </c>
      <c r="E23" s="38"/>
      <c r="F23" s="38">
        <v>200</v>
      </c>
      <c r="G23" s="43">
        <v>9</v>
      </c>
      <c r="H23" s="38">
        <f>D23*0.09</f>
        <v>342.09</v>
      </c>
      <c r="I23" s="38">
        <f t="shared" si="2"/>
        <v>3801</v>
      </c>
      <c r="J23" s="43">
        <v>375</v>
      </c>
      <c r="K23" s="38">
        <f t="shared" ref="K23:K25" si="6">D23*3.75</f>
        <v>14253.75</v>
      </c>
      <c r="L23" s="4"/>
      <c r="M23" s="4"/>
    </row>
    <row r="24" spans="1:13" ht="15.75" hidden="1">
      <c r="A24" s="38" t="s">
        <v>15</v>
      </c>
      <c r="B24" s="39">
        <f t="shared" si="0"/>
        <v>66167.25</v>
      </c>
      <c r="C24" s="40">
        <f t="shared" si="1"/>
        <v>22055.75</v>
      </c>
      <c r="D24" s="38">
        <v>3801</v>
      </c>
      <c r="E24" s="38"/>
      <c r="F24" s="38">
        <v>200</v>
      </c>
      <c r="G24" s="43"/>
      <c r="H24" s="38"/>
      <c r="I24" s="38">
        <f t="shared" si="2"/>
        <v>3801</v>
      </c>
      <c r="J24" s="43">
        <v>375</v>
      </c>
      <c r="K24" s="38">
        <f t="shared" si="6"/>
        <v>14253.75</v>
      </c>
      <c r="L24" s="25"/>
      <c r="M24" s="4"/>
    </row>
    <row r="25" spans="1:13" ht="15.75" hidden="1">
      <c r="A25" s="38" t="s">
        <v>18</v>
      </c>
      <c r="B25" s="39">
        <f t="shared" si="0"/>
        <v>58723.679999999993</v>
      </c>
      <c r="C25" s="40">
        <f t="shared" si="1"/>
        <v>19574.559999999998</v>
      </c>
      <c r="D25" s="38">
        <v>3352</v>
      </c>
      <c r="E25" s="38"/>
      <c r="F25" s="38">
        <v>200</v>
      </c>
      <c r="G25" s="43">
        <v>3</v>
      </c>
      <c r="H25" s="38">
        <f>D25*0.03</f>
        <v>100.56</v>
      </c>
      <c r="I25" s="38">
        <f t="shared" si="2"/>
        <v>3352</v>
      </c>
      <c r="J25" s="43">
        <v>375</v>
      </c>
      <c r="K25" s="38">
        <f t="shared" si="6"/>
        <v>12570</v>
      </c>
      <c r="L25" s="4"/>
      <c r="M25" s="4"/>
    </row>
    <row r="26" spans="1:13" ht="15.75" hidden="1">
      <c r="A26" s="38" t="s">
        <v>28</v>
      </c>
      <c r="B26" s="39">
        <f>(D26+F26+H26+I26+K26)*1+L26+M26</f>
        <v>21150</v>
      </c>
      <c r="C26" s="40">
        <f t="shared" si="1"/>
        <v>21150</v>
      </c>
      <c r="D26" s="38">
        <v>3352</v>
      </c>
      <c r="E26" s="38"/>
      <c r="F26" s="38">
        <v>200</v>
      </c>
      <c r="G26" s="43"/>
      <c r="H26" s="38"/>
      <c r="I26" s="38">
        <f t="shared" si="2"/>
        <v>3352</v>
      </c>
      <c r="J26" s="43">
        <v>425</v>
      </c>
      <c r="K26" s="38">
        <f>D26*4.25</f>
        <v>14246</v>
      </c>
      <c r="L26" s="4"/>
      <c r="M26" s="4"/>
    </row>
    <row r="27" spans="1:13" ht="15.75" hidden="1">
      <c r="A27" s="38" t="s">
        <v>28</v>
      </c>
      <c r="B27" s="39">
        <f>(D27+F27+H27+I27+K27)*2+L27+M27</f>
        <v>47912.5</v>
      </c>
      <c r="C27" s="40">
        <f t="shared" si="1"/>
        <v>23956.25</v>
      </c>
      <c r="D27" s="38">
        <v>3801</v>
      </c>
      <c r="E27" s="38"/>
      <c r="F27" s="38">
        <v>200</v>
      </c>
      <c r="G27" s="43"/>
      <c r="H27" s="38"/>
      <c r="I27" s="38">
        <f t="shared" si="2"/>
        <v>3801</v>
      </c>
      <c r="J27" s="43">
        <v>425</v>
      </c>
      <c r="K27" s="38">
        <f>D27*4.25</f>
        <v>16154.25</v>
      </c>
      <c r="L27" s="4"/>
      <c r="M27" s="4"/>
    </row>
    <row r="28" spans="1:13" ht="15.75" hidden="1">
      <c r="A28" s="38" t="s">
        <v>16</v>
      </c>
      <c r="B28" s="39">
        <f t="shared" si="0"/>
        <v>19500</v>
      </c>
      <c r="C28" s="40">
        <f t="shared" si="1"/>
        <v>6500</v>
      </c>
      <c r="D28" s="38">
        <v>6500</v>
      </c>
      <c r="E28" s="38"/>
      <c r="F28" s="38"/>
      <c r="G28" s="43"/>
      <c r="H28" s="38"/>
      <c r="I28" s="38"/>
      <c r="J28" s="43"/>
      <c r="K28" s="38"/>
      <c r="L28" s="4"/>
      <c r="M28" s="4"/>
    </row>
    <row r="29" spans="1:13" ht="15.75" hidden="1">
      <c r="A29" s="38" t="s">
        <v>21</v>
      </c>
      <c r="B29" s="39">
        <f t="shared" si="0"/>
        <v>68561.88</v>
      </c>
      <c r="C29" s="40">
        <f t="shared" si="1"/>
        <v>22853.96</v>
      </c>
      <c r="D29" s="38">
        <v>3801</v>
      </c>
      <c r="E29" s="38"/>
      <c r="F29" s="38">
        <v>200</v>
      </c>
      <c r="G29" s="43">
        <v>21</v>
      </c>
      <c r="H29" s="38">
        <f>D29*0.21</f>
        <v>798.20999999999992</v>
      </c>
      <c r="I29" s="38">
        <f t="shared" si="2"/>
        <v>3801</v>
      </c>
      <c r="J29" s="43">
        <v>375</v>
      </c>
      <c r="K29" s="38">
        <f>D29*3.75</f>
        <v>14253.75</v>
      </c>
      <c r="L29" s="25"/>
      <c r="M29" s="4"/>
    </row>
    <row r="30" spans="1:13" ht="15.75">
      <c r="A30" s="5" t="s">
        <v>3</v>
      </c>
      <c r="B30" s="5"/>
      <c r="C30" s="32">
        <f>C7+C10+C11+C12+C13</f>
        <v>137635</v>
      </c>
      <c r="D30" s="32">
        <f>D7+D10+D11+D12+D13</f>
        <v>32100</v>
      </c>
      <c r="E30" s="32">
        <f t="shared" ref="E30:K30" si="7">E7+E10+E11+E12+E13</f>
        <v>0</v>
      </c>
      <c r="F30" s="32">
        <f t="shared" si="7"/>
        <v>1600</v>
      </c>
      <c r="G30" s="32"/>
      <c r="H30" s="32">
        <f t="shared" si="7"/>
        <v>7635</v>
      </c>
      <c r="I30" s="32">
        <f t="shared" si="7"/>
        <v>32100</v>
      </c>
      <c r="J30" s="32"/>
      <c r="K30" s="32">
        <f t="shared" si="7"/>
        <v>64200</v>
      </c>
      <c r="L30" s="5">
        <f t="shared" ref="L30:M30" si="8">SUM(L6:L29)</f>
        <v>0</v>
      </c>
      <c r="M30" s="5">
        <f t="shared" si="8"/>
        <v>0</v>
      </c>
    </row>
    <row r="31" spans="1:13">
      <c r="B31" s="29"/>
    </row>
    <row r="32" spans="1:13" ht="18.350000000000001">
      <c r="A32" s="7" t="s">
        <v>40</v>
      </c>
      <c r="B32" s="8"/>
      <c r="C32" s="8"/>
    </row>
    <row r="33" spans="1:3" ht="18.350000000000001">
      <c r="A33" s="7"/>
      <c r="B33" s="8"/>
      <c r="C33" s="8"/>
    </row>
    <row r="34" spans="1:3">
      <c r="B34" s="14">
        <f>B32-B30</f>
        <v>0</v>
      </c>
      <c r="C34" s="14"/>
    </row>
  </sheetData>
  <mergeCells count="3">
    <mergeCell ref="A1:M1"/>
    <mergeCell ref="B4:B5"/>
    <mergeCell ref="C4:C5"/>
  </mergeCells>
  <pageMargins left="0.2" right="0.32" top="0.28000000000000003" bottom="0.32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8"/>
  <sheetViews>
    <sheetView workbookViewId="0">
      <selection activeCell="I5" sqref="I5"/>
    </sheetView>
  </sheetViews>
  <sheetFormatPr defaultRowHeight="15.05"/>
  <cols>
    <col min="1" max="1" width="19" customWidth="1"/>
    <col min="2" max="2" width="12.109375" customWidth="1"/>
    <col min="3" max="3" width="10.44140625" customWidth="1"/>
    <col min="4" max="4" width="9.6640625" customWidth="1"/>
    <col min="9" max="9" width="9.6640625" customWidth="1"/>
    <col min="10" max="10" width="8.109375" customWidth="1"/>
    <col min="11" max="11" width="11.44140625" customWidth="1"/>
    <col min="12" max="12" width="10" customWidth="1"/>
    <col min="13" max="13" width="10.88671875" customWidth="1"/>
  </cols>
  <sheetData>
    <row r="1" spans="1:13" ht="17.7">
      <c r="A1" s="93" t="s">
        <v>31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>
      <c r="L2" s="13" t="s">
        <v>4</v>
      </c>
      <c r="M2" s="13"/>
    </row>
    <row r="3" spans="1:13" ht="15.75">
      <c r="A3" s="16" t="s">
        <v>23</v>
      </c>
      <c r="B3" s="99" t="s">
        <v>32</v>
      </c>
      <c r="C3" s="99" t="s">
        <v>22</v>
      </c>
      <c r="D3" s="9" t="s">
        <v>2</v>
      </c>
      <c r="E3" s="10"/>
      <c r="F3" s="10"/>
      <c r="G3" s="10"/>
      <c r="H3" s="10"/>
      <c r="I3" s="10"/>
      <c r="J3" s="10"/>
      <c r="K3" s="10"/>
      <c r="L3" s="10"/>
      <c r="M3" s="11"/>
    </row>
    <row r="4" spans="1:13" ht="75.3">
      <c r="A4" s="17"/>
      <c r="B4" s="103"/>
      <c r="C4" s="103"/>
      <c r="D4" s="12" t="s">
        <v>0</v>
      </c>
      <c r="E4" s="12" t="s">
        <v>27</v>
      </c>
      <c r="F4" s="12" t="s">
        <v>1</v>
      </c>
      <c r="G4" s="12" t="s">
        <v>25</v>
      </c>
      <c r="H4" s="12" t="s">
        <v>24</v>
      </c>
      <c r="I4" s="12" t="s">
        <v>30</v>
      </c>
      <c r="J4" s="12" t="s">
        <v>29</v>
      </c>
      <c r="K4" s="12" t="s">
        <v>35</v>
      </c>
      <c r="L4" s="12" t="s">
        <v>20</v>
      </c>
      <c r="M4" s="12" t="s">
        <v>33</v>
      </c>
    </row>
    <row r="5" spans="1:13" ht="15.75">
      <c r="A5" s="4" t="s">
        <v>5</v>
      </c>
      <c r="B5" s="5">
        <f>(D5+F5+H5+I5+K5)*3+L5+M5</f>
        <v>72000</v>
      </c>
      <c r="C5" s="18">
        <f>D5+F5+H5+I5+K5</f>
        <v>24000</v>
      </c>
      <c r="D5" s="6">
        <v>9400</v>
      </c>
      <c r="E5" s="24"/>
      <c r="F5" s="4">
        <v>500</v>
      </c>
      <c r="G5" s="20">
        <v>50</v>
      </c>
      <c r="H5" s="4">
        <f>D5*0.5</f>
        <v>4700</v>
      </c>
      <c r="I5" s="4">
        <f>D5</f>
        <v>9400</v>
      </c>
      <c r="J5" s="20"/>
      <c r="K5" s="4"/>
      <c r="L5" s="4"/>
      <c r="M5" s="4"/>
    </row>
    <row r="6" spans="1:13" ht="15.75">
      <c r="A6" s="4" t="s">
        <v>41</v>
      </c>
      <c r="B6" s="5">
        <f t="shared" ref="B6:B23" si="0">(D6+F6+H6+I6+K6)*3+L6+M6</f>
        <v>48990</v>
      </c>
      <c r="C6" s="18">
        <f t="shared" ref="C6:C23" si="1">D6+F6+H6+I6+K6</f>
        <v>16330</v>
      </c>
      <c r="D6" s="4">
        <v>6500</v>
      </c>
      <c r="E6" s="4"/>
      <c r="F6" s="4">
        <v>600</v>
      </c>
      <c r="G6" s="20">
        <v>42</v>
      </c>
      <c r="H6" s="4">
        <f>D6*0.42</f>
        <v>2730</v>
      </c>
      <c r="I6" s="4">
        <f t="shared" ref="I6:I23" si="2">D6</f>
        <v>6500</v>
      </c>
      <c r="J6" s="20"/>
      <c r="K6" s="4"/>
      <c r="L6" s="4"/>
      <c r="M6" s="4"/>
    </row>
    <row r="7" spans="1:13" ht="15.75">
      <c r="A7" s="4" t="s">
        <v>6</v>
      </c>
      <c r="B7" s="5">
        <f t="shared" si="0"/>
        <v>44010</v>
      </c>
      <c r="C7" s="18">
        <f t="shared" si="1"/>
        <v>14670</v>
      </c>
      <c r="D7" s="4">
        <v>6500</v>
      </c>
      <c r="E7" s="4"/>
      <c r="F7" s="4">
        <v>500</v>
      </c>
      <c r="G7" s="20">
        <v>18</v>
      </c>
      <c r="H7" s="4">
        <f>D7*0.18</f>
        <v>1170</v>
      </c>
      <c r="I7" s="4">
        <f t="shared" si="2"/>
        <v>6500</v>
      </c>
      <c r="J7" s="20"/>
      <c r="K7" s="4"/>
      <c r="L7" s="4"/>
      <c r="M7" s="4"/>
    </row>
    <row r="8" spans="1:13" ht="15.75">
      <c r="A8" s="4" t="s">
        <v>7</v>
      </c>
      <c r="B8" s="5">
        <f t="shared" si="0"/>
        <v>38628</v>
      </c>
      <c r="C8" s="18">
        <f t="shared" si="1"/>
        <v>12876</v>
      </c>
      <c r="D8" s="4">
        <v>5600</v>
      </c>
      <c r="E8" s="4"/>
      <c r="F8" s="4">
        <v>500</v>
      </c>
      <c r="G8" s="20">
        <v>21</v>
      </c>
      <c r="H8" s="4">
        <f>D8*0.21</f>
        <v>1176</v>
      </c>
      <c r="I8" s="4">
        <f t="shared" si="2"/>
        <v>5600</v>
      </c>
      <c r="J8" s="20"/>
      <c r="K8" s="4"/>
      <c r="L8" s="4"/>
      <c r="M8" s="4"/>
    </row>
    <row r="9" spans="1:13" ht="15.75">
      <c r="A9" s="4" t="s">
        <v>17</v>
      </c>
      <c r="B9" s="5">
        <f t="shared" si="0"/>
        <v>39636</v>
      </c>
      <c r="C9" s="18">
        <f t="shared" si="1"/>
        <v>13212</v>
      </c>
      <c r="D9" s="4">
        <v>5600</v>
      </c>
      <c r="E9" s="4"/>
      <c r="F9" s="4">
        <v>500</v>
      </c>
      <c r="G9" s="20">
        <v>27</v>
      </c>
      <c r="H9" s="4">
        <f>D9*0.27</f>
        <v>1512</v>
      </c>
      <c r="I9" s="4">
        <f t="shared" si="2"/>
        <v>5600</v>
      </c>
      <c r="J9" s="20"/>
      <c r="K9" s="4"/>
      <c r="L9" s="4"/>
      <c r="M9" s="4"/>
    </row>
    <row r="10" spans="1:13" ht="15.75">
      <c r="A10" s="4" t="s">
        <v>19</v>
      </c>
      <c r="B10" s="5">
        <f>(D10+E10+F10+H10+I10+K10)*3+L10+M10</f>
        <v>33516.449999999997</v>
      </c>
      <c r="C10" s="18">
        <f>D10+E10+F10+H10+I10+K10</f>
        <v>11172.15</v>
      </c>
      <c r="D10" s="4">
        <v>3801</v>
      </c>
      <c r="E10" s="4">
        <v>2800</v>
      </c>
      <c r="F10" s="4">
        <v>200</v>
      </c>
      <c r="G10" s="20">
        <v>15</v>
      </c>
      <c r="H10" s="4">
        <f>D10*0.15</f>
        <v>570.15</v>
      </c>
      <c r="I10" s="4">
        <f t="shared" si="2"/>
        <v>3801</v>
      </c>
      <c r="J10" s="20"/>
      <c r="K10" s="4"/>
      <c r="L10" s="4"/>
      <c r="M10" s="4"/>
    </row>
    <row r="11" spans="1:13" ht="15.75">
      <c r="A11" s="4" t="s">
        <v>8</v>
      </c>
      <c r="B11" s="5">
        <f t="shared" si="0"/>
        <v>28153.17</v>
      </c>
      <c r="C11" s="18">
        <f t="shared" si="1"/>
        <v>9384.39</v>
      </c>
      <c r="D11" s="4">
        <v>3801</v>
      </c>
      <c r="E11" s="4"/>
      <c r="F11" s="4">
        <v>300</v>
      </c>
      <c r="G11" s="20">
        <v>39</v>
      </c>
      <c r="H11" s="4">
        <f>D11*0.39</f>
        <v>1482.39</v>
      </c>
      <c r="I11" s="4">
        <f t="shared" si="2"/>
        <v>3801</v>
      </c>
      <c r="J11" s="20"/>
      <c r="K11" s="4"/>
      <c r="L11" s="25"/>
      <c r="M11" s="4"/>
    </row>
    <row r="12" spans="1:13" ht="15.75">
      <c r="A12" s="4" t="s">
        <v>9</v>
      </c>
      <c r="B12" s="5">
        <f t="shared" si="0"/>
        <v>29407.5</v>
      </c>
      <c r="C12" s="18">
        <f t="shared" si="1"/>
        <v>9802.5</v>
      </c>
      <c r="D12" s="4">
        <v>3801</v>
      </c>
      <c r="E12" s="4"/>
      <c r="F12" s="4">
        <v>300</v>
      </c>
      <c r="G12" s="20">
        <v>50</v>
      </c>
      <c r="H12" s="4">
        <f>D12*0.5</f>
        <v>1900.5</v>
      </c>
      <c r="I12" s="4">
        <f t="shared" si="2"/>
        <v>3801</v>
      </c>
      <c r="J12" s="20"/>
      <c r="K12" s="4"/>
      <c r="L12" s="4"/>
      <c r="M12" s="4"/>
    </row>
    <row r="13" spans="1:13" ht="15.75">
      <c r="A13" s="4" t="s">
        <v>10</v>
      </c>
      <c r="B13" s="5">
        <f t="shared" si="0"/>
        <v>23406</v>
      </c>
      <c r="C13" s="18">
        <f t="shared" si="1"/>
        <v>7802</v>
      </c>
      <c r="D13" s="4">
        <v>3801</v>
      </c>
      <c r="E13" s="4"/>
      <c r="F13" s="4">
        <v>200</v>
      </c>
      <c r="G13" s="20"/>
      <c r="H13" s="4"/>
      <c r="I13" s="4">
        <f t="shared" si="2"/>
        <v>3801</v>
      </c>
      <c r="J13" s="20"/>
      <c r="K13" s="4"/>
      <c r="L13" s="4"/>
      <c r="M13" s="4"/>
    </row>
    <row r="14" spans="1:13" ht="15.75">
      <c r="A14" s="4" t="s">
        <v>11</v>
      </c>
      <c r="B14" s="5">
        <f t="shared" si="0"/>
        <v>28068.989999999998</v>
      </c>
      <c r="C14" s="18">
        <f t="shared" si="1"/>
        <v>9356.33</v>
      </c>
      <c r="D14" s="4">
        <v>3801</v>
      </c>
      <c r="E14" s="4"/>
      <c r="F14" s="4">
        <v>500</v>
      </c>
      <c r="G14" s="20">
        <v>33</v>
      </c>
      <c r="H14" s="4">
        <f>D14*0.33</f>
        <v>1254.3300000000002</v>
      </c>
      <c r="I14" s="4">
        <f t="shared" si="2"/>
        <v>3801</v>
      </c>
      <c r="J14" s="20"/>
      <c r="K14" s="4"/>
      <c r="L14" s="4"/>
      <c r="M14" s="4"/>
    </row>
    <row r="15" spans="1:13" ht="15.75">
      <c r="A15" s="4" t="s">
        <v>12</v>
      </c>
      <c r="B15" s="5">
        <f t="shared" si="0"/>
        <v>27511.08</v>
      </c>
      <c r="C15" s="18">
        <f t="shared" si="1"/>
        <v>9170.36</v>
      </c>
      <c r="D15" s="4">
        <v>3801</v>
      </c>
      <c r="E15" s="4"/>
      <c r="F15" s="4">
        <v>200</v>
      </c>
      <c r="G15" s="20">
        <v>36</v>
      </c>
      <c r="H15" s="4">
        <f>D15*0.36</f>
        <v>1368.36</v>
      </c>
      <c r="I15" s="4">
        <f t="shared" si="2"/>
        <v>3801</v>
      </c>
      <c r="J15" s="20"/>
      <c r="K15" s="4"/>
      <c r="L15" s="4"/>
      <c r="M15" s="4"/>
    </row>
    <row r="16" spans="1:13" ht="15.75">
      <c r="A16" s="4" t="s">
        <v>13</v>
      </c>
      <c r="B16" s="5">
        <f t="shared" si="0"/>
        <v>23748.09</v>
      </c>
      <c r="C16" s="18">
        <f t="shared" si="1"/>
        <v>7916.03</v>
      </c>
      <c r="D16" s="4">
        <v>3801</v>
      </c>
      <c r="E16" s="4"/>
      <c r="F16" s="4">
        <v>200</v>
      </c>
      <c r="G16" s="20">
        <v>3</v>
      </c>
      <c r="H16" s="4">
        <f>D16*0.03</f>
        <v>114.03</v>
      </c>
      <c r="I16" s="4">
        <f t="shared" si="2"/>
        <v>3801</v>
      </c>
      <c r="J16" s="20"/>
      <c r="K16" s="4"/>
      <c r="L16" s="4"/>
      <c r="M16" s="4"/>
    </row>
    <row r="17" spans="1:13" ht="15.75">
      <c r="A17" s="4" t="s">
        <v>14</v>
      </c>
      <c r="B17" s="5">
        <f t="shared" si="0"/>
        <v>24432.27</v>
      </c>
      <c r="C17" s="18">
        <f t="shared" si="1"/>
        <v>8144.09</v>
      </c>
      <c r="D17" s="4">
        <v>3801</v>
      </c>
      <c r="E17" s="4"/>
      <c r="F17" s="4">
        <v>200</v>
      </c>
      <c r="G17" s="20">
        <v>9</v>
      </c>
      <c r="H17" s="4">
        <f>D17*0.09</f>
        <v>342.09</v>
      </c>
      <c r="I17" s="4">
        <f t="shared" si="2"/>
        <v>3801</v>
      </c>
      <c r="J17" s="20"/>
      <c r="K17" s="4"/>
      <c r="L17" s="4"/>
      <c r="M17" s="4"/>
    </row>
    <row r="18" spans="1:13" ht="15.75">
      <c r="A18" s="4" t="s">
        <v>15</v>
      </c>
      <c r="B18" s="5">
        <f t="shared" si="0"/>
        <v>23406</v>
      </c>
      <c r="C18" s="18">
        <f t="shared" si="1"/>
        <v>7802</v>
      </c>
      <c r="D18" s="4">
        <v>3801</v>
      </c>
      <c r="E18" s="4"/>
      <c r="F18" s="4">
        <v>200</v>
      </c>
      <c r="G18" s="20"/>
      <c r="H18" s="4"/>
      <c r="I18" s="4">
        <f t="shared" si="2"/>
        <v>3801</v>
      </c>
      <c r="J18" s="20"/>
      <c r="K18" s="4"/>
      <c r="L18" s="25"/>
      <c r="M18" s="4"/>
    </row>
    <row r="19" spans="1:13" ht="15.75">
      <c r="A19" s="4" t="s">
        <v>18</v>
      </c>
      <c r="B19" s="5">
        <f t="shared" si="0"/>
        <v>21013.68</v>
      </c>
      <c r="C19" s="18">
        <f t="shared" si="1"/>
        <v>7004.5599999999995</v>
      </c>
      <c r="D19" s="4">
        <v>3352</v>
      </c>
      <c r="E19" s="4"/>
      <c r="F19" s="4">
        <v>200</v>
      </c>
      <c r="G19" s="20">
        <v>3</v>
      </c>
      <c r="H19" s="4">
        <f>D19*0.03</f>
        <v>100.56</v>
      </c>
      <c r="I19" s="4">
        <f t="shared" si="2"/>
        <v>3352</v>
      </c>
      <c r="J19" s="20"/>
      <c r="K19" s="4"/>
      <c r="L19" s="4"/>
      <c r="M19" s="4"/>
    </row>
    <row r="20" spans="1:13" ht="15.75">
      <c r="A20" s="4" t="s">
        <v>28</v>
      </c>
      <c r="B20" s="5">
        <f>(D20+F20+H20+I20+K20)*1+L20+M20</f>
        <v>6904</v>
      </c>
      <c r="C20" s="18">
        <f t="shared" si="1"/>
        <v>6904</v>
      </c>
      <c r="D20" s="4">
        <v>3352</v>
      </c>
      <c r="E20" s="4"/>
      <c r="F20" s="4">
        <v>200</v>
      </c>
      <c r="G20" s="20"/>
      <c r="H20" s="4"/>
      <c r="I20" s="4">
        <f t="shared" si="2"/>
        <v>3352</v>
      </c>
      <c r="J20" s="20"/>
      <c r="K20" s="4"/>
      <c r="L20" s="4"/>
      <c r="M20" s="4"/>
    </row>
    <row r="21" spans="1:13" ht="15.75">
      <c r="A21" s="4" t="s">
        <v>28</v>
      </c>
      <c r="B21" s="5">
        <f>(D21+F21+H21+I21+K21)*2+L21+M21</f>
        <v>15604</v>
      </c>
      <c r="C21" s="18">
        <f t="shared" si="1"/>
        <v>7802</v>
      </c>
      <c r="D21" s="4">
        <v>3801</v>
      </c>
      <c r="E21" s="4"/>
      <c r="F21" s="4">
        <v>200</v>
      </c>
      <c r="G21" s="20"/>
      <c r="H21" s="4"/>
      <c r="I21" s="4">
        <f t="shared" si="2"/>
        <v>3801</v>
      </c>
      <c r="J21" s="20"/>
      <c r="K21" s="4"/>
      <c r="L21" s="4"/>
      <c r="M21" s="4"/>
    </row>
    <row r="22" spans="1:13" ht="15.75">
      <c r="A22" s="4" t="s">
        <v>16</v>
      </c>
      <c r="B22" s="5">
        <f t="shared" si="0"/>
        <v>12000</v>
      </c>
      <c r="C22" s="18">
        <f t="shared" si="1"/>
        <v>4000</v>
      </c>
      <c r="D22" s="4">
        <v>4000</v>
      </c>
      <c r="E22" s="4"/>
      <c r="F22" s="4"/>
      <c r="G22" s="20"/>
      <c r="H22" s="4"/>
      <c r="I22" s="4"/>
      <c r="J22" s="20"/>
      <c r="K22" s="4"/>
      <c r="L22" s="4"/>
      <c r="M22" s="4"/>
    </row>
    <row r="23" spans="1:13" ht="15.75">
      <c r="A23" s="4" t="s">
        <v>21</v>
      </c>
      <c r="B23" s="5">
        <f t="shared" si="0"/>
        <v>25800.629999999997</v>
      </c>
      <c r="C23" s="18">
        <f t="shared" si="1"/>
        <v>8600.2099999999991</v>
      </c>
      <c r="D23" s="4">
        <v>3801</v>
      </c>
      <c r="E23" s="4"/>
      <c r="F23" s="4">
        <v>200</v>
      </c>
      <c r="G23" s="20">
        <v>21</v>
      </c>
      <c r="H23" s="4">
        <f>D23*0.21</f>
        <v>798.20999999999992</v>
      </c>
      <c r="I23" s="4">
        <f t="shared" si="2"/>
        <v>3801</v>
      </c>
      <c r="J23" s="20"/>
      <c r="K23" s="4"/>
      <c r="L23" s="25"/>
      <c r="M23" s="4"/>
    </row>
    <row r="24" spans="1:13" ht="15.75">
      <c r="A24" s="5" t="s">
        <v>3</v>
      </c>
      <c r="B24" s="5">
        <f t="shared" ref="B24:M24" si="3">SUM(B5:B23)</f>
        <v>566235.86</v>
      </c>
      <c r="C24" s="19">
        <f t="shared" si="3"/>
        <v>195948.61999999997</v>
      </c>
      <c r="D24" s="5">
        <f t="shared" si="3"/>
        <v>86115</v>
      </c>
      <c r="E24" s="5">
        <f t="shared" si="3"/>
        <v>2800</v>
      </c>
      <c r="F24" s="5">
        <f t="shared" si="3"/>
        <v>5700</v>
      </c>
      <c r="G24" s="5"/>
      <c r="H24" s="5">
        <f t="shared" si="3"/>
        <v>19218.62</v>
      </c>
      <c r="I24" s="5">
        <f t="shared" si="3"/>
        <v>82115</v>
      </c>
      <c r="J24" s="5"/>
      <c r="K24" s="5">
        <f t="shared" si="3"/>
        <v>0</v>
      </c>
      <c r="L24" s="5">
        <f t="shared" si="3"/>
        <v>0</v>
      </c>
      <c r="M24" s="5">
        <f t="shared" si="3"/>
        <v>0</v>
      </c>
    </row>
    <row r="25" spans="1:13">
      <c r="B25" s="29"/>
    </row>
    <row r="26" spans="1:13" ht="18.350000000000001">
      <c r="A26" s="7" t="s">
        <v>40</v>
      </c>
      <c r="B26" s="8">
        <f>166848+906700+825600</f>
        <v>1899148</v>
      </c>
      <c r="C26" s="8"/>
    </row>
    <row r="27" spans="1:13" ht="18.350000000000001">
      <c r="A27" s="7"/>
      <c r="B27" s="8"/>
      <c r="C27" s="8"/>
    </row>
    <row r="28" spans="1:13">
      <c r="B28" s="14">
        <f>B26-B24</f>
        <v>1332912.1400000001</v>
      </c>
      <c r="C28" s="14"/>
    </row>
  </sheetData>
  <mergeCells count="3">
    <mergeCell ref="A1:M1"/>
    <mergeCell ref="B3:B4"/>
    <mergeCell ref="C3:C4"/>
  </mergeCells>
  <pageMargins left="0.2" right="0.48" top="0.32" bottom="0.31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F19" sqref="F19"/>
    </sheetView>
  </sheetViews>
  <sheetFormatPr defaultRowHeight="15.05"/>
  <cols>
    <col min="1" max="1" width="3.5546875" customWidth="1"/>
    <col min="2" max="2" width="17.6640625" customWidth="1"/>
    <col min="3" max="3" width="13.6640625" customWidth="1"/>
    <col min="4" max="4" width="12.109375" customWidth="1"/>
    <col min="5" max="5" width="10.88671875" customWidth="1"/>
    <col min="6" max="6" width="9.33203125" customWidth="1"/>
    <col min="7" max="7" width="5.5546875" customWidth="1"/>
    <col min="8" max="8" width="10.44140625" customWidth="1"/>
    <col min="9" max="9" width="11.33203125" customWidth="1"/>
    <col min="10" max="10" width="7.109375" customWidth="1"/>
    <col min="11" max="11" width="10.5546875" customWidth="1"/>
    <col min="12" max="12" width="10.33203125" customWidth="1"/>
    <col min="13" max="13" width="10" customWidth="1"/>
  </cols>
  <sheetData>
    <row r="1" spans="1:14" ht="17.7">
      <c r="B1" s="93" t="s">
        <v>56</v>
      </c>
      <c r="C1" s="93"/>
      <c r="D1" s="93"/>
      <c r="E1" s="93"/>
      <c r="F1" s="93"/>
      <c r="G1" s="93"/>
      <c r="H1" s="93"/>
      <c r="I1" s="93"/>
      <c r="J1" s="93"/>
      <c r="K1" s="93"/>
    </row>
    <row r="2" spans="1:14" ht="15.75" thickBot="1"/>
    <row r="3" spans="1:14" ht="18" customHeight="1" thickBot="1">
      <c r="A3" s="94" t="s">
        <v>51</v>
      </c>
      <c r="B3" s="58" t="s">
        <v>23</v>
      </c>
      <c r="C3" s="96"/>
      <c r="D3" s="98" t="s">
        <v>44</v>
      </c>
      <c r="E3" s="68" t="s">
        <v>2</v>
      </c>
      <c r="F3" s="69"/>
      <c r="G3" s="69"/>
      <c r="H3" s="69"/>
      <c r="I3" s="69"/>
      <c r="J3" s="69"/>
      <c r="K3" s="70"/>
      <c r="L3" s="65"/>
      <c r="M3" s="44"/>
    </row>
    <row r="4" spans="1:14" ht="79.55" customHeight="1" thickBot="1">
      <c r="A4" s="95"/>
      <c r="B4" s="59"/>
      <c r="C4" s="97"/>
      <c r="D4" s="97"/>
      <c r="E4" s="66" t="s">
        <v>0</v>
      </c>
      <c r="F4" s="66" t="s">
        <v>1</v>
      </c>
      <c r="G4" s="66" t="s">
        <v>26</v>
      </c>
      <c r="H4" s="66" t="s">
        <v>24</v>
      </c>
      <c r="I4" s="66" t="s">
        <v>60</v>
      </c>
      <c r="J4" s="66" t="s">
        <v>29</v>
      </c>
      <c r="K4" s="67" t="s">
        <v>57</v>
      </c>
      <c r="L4" s="60" t="s">
        <v>54</v>
      </c>
      <c r="M4" s="45" t="s">
        <v>53</v>
      </c>
      <c r="N4" s="49"/>
    </row>
    <row r="5" spans="1:14" ht="15.75">
      <c r="A5" s="61">
        <v>1</v>
      </c>
      <c r="B5" s="53" t="s">
        <v>5</v>
      </c>
      <c r="C5" s="79">
        <f>D5</f>
        <v>66030</v>
      </c>
      <c r="D5" s="78">
        <f t="shared" ref="D5:D23" si="0">E5+F5+H5+I5+K5+L5+M5</f>
        <v>66030</v>
      </c>
      <c r="E5" s="6">
        <v>14100</v>
      </c>
      <c r="F5" s="54">
        <v>600</v>
      </c>
      <c r="G5" s="55">
        <v>50</v>
      </c>
      <c r="H5" s="54">
        <f>E5*0.5</f>
        <v>7050</v>
      </c>
      <c r="I5" s="54">
        <f>E5*2.5</f>
        <v>35250</v>
      </c>
      <c r="J5" s="55">
        <v>30</v>
      </c>
      <c r="K5" s="56">
        <f>E5*0.3</f>
        <v>4230</v>
      </c>
      <c r="L5" s="57"/>
      <c r="M5" s="47">
        <v>4800</v>
      </c>
      <c r="N5" s="50"/>
    </row>
    <row r="6" spans="1:14" ht="15.75">
      <c r="A6" s="62">
        <v>2</v>
      </c>
      <c r="B6" s="51" t="s">
        <v>41</v>
      </c>
      <c r="C6" s="79">
        <f t="shared" ref="C6:C23" si="1">D6</f>
        <v>37310.800000000003</v>
      </c>
      <c r="D6" s="78">
        <f t="shared" si="0"/>
        <v>37310.800000000003</v>
      </c>
      <c r="E6" s="4">
        <v>8110</v>
      </c>
      <c r="F6" s="4">
        <v>600</v>
      </c>
      <c r="G6" s="21">
        <v>48</v>
      </c>
      <c r="H6" s="4">
        <f>E6*0.48</f>
        <v>3892.7999999999997</v>
      </c>
      <c r="I6" s="54">
        <f t="shared" ref="I6:I21" si="2">E6*2.5</f>
        <v>20275</v>
      </c>
      <c r="J6" s="55">
        <v>30</v>
      </c>
      <c r="K6" s="56">
        <f>E6*0.3</f>
        <v>2433</v>
      </c>
      <c r="L6" s="46"/>
      <c r="M6" s="48">
        <v>2000</v>
      </c>
    </row>
    <row r="7" spans="1:14" ht="15.75">
      <c r="A7" s="62">
        <v>3</v>
      </c>
      <c r="B7" s="51" t="s">
        <v>50</v>
      </c>
      <c r="C7" s="79">
        <f t="shared" si="1"/>
        <v>30851.3</v>
      </c>
      <c r="D7" s="78">
        <f t="shared" si="0"/>
        <v>30851.3</v>
      </c>
      <c r="E7" s="4">
        <v>7010</v>
      </c>
      <c r="F7" s="4">
        <v>500</v>
      </c>
      <c r="G7" s="21">
        <v>33</v>
      </c>
      <c r="H7" s="4">
        <f>E7*0.33</f>
        <v>2313.3000000000002</v>
      </c>
      <c r="I7" s="54">
        <f t="shared" si="2"/>
        <v>17525</v>
      </c>
      <c r="J7" s="55">
        <v>30</v>
      </c>
      <c r="K7" s="56">
        <f t="shared" ref="K7:K21" si="3">E7*0.3</f>
        <v>2103</v>
      </c>
      <c r="L7" s="46"/>
      <c r="M7" s="48">
        <v>1400</v>
      </c>
    </row>
    <row r="8" spans="1:14" ht="15.75">
      <c r="A8" s="62">
        <v>4</v>
      </c>
      <c r="B8" s="51" t="s">
        <v>6</v>
      </c>
      <c r="C8" s="79">
        <f t="shared" si="1"/>
        <v>35004.400000000001</v>
      </c>
      <c r="D8" s="78">
        <f t="shared" si="0"/>
        <v>35004.400000000001</v>
      </c>
      <c r="E8" s="4">
        <v>8110</v>
      </c>
      <c r="F8" s="4">
        <v>540</v>
      </c>
      <c r="G8" s="21">
        <v>24</v>
      </c>
      <c r="H8" s="4">
        <f>E8*0.24</f>
        <v>1946.3999999999999</v>
      </c>
      <c r="I8" s="54">
        <f t="shared" si="2"/>
        <v>20275</v>
      </c>
      <c r="J8" s="55">
        <v>30</v>
      </c>
      <c r="K8" s="56">
        <f t="shared" si="3"/>
        <v>2433</v>
      </c>
      <c r="L8" s="46"/>
      <c r="M8" s="48">
        <v>1700</v>
      </c>
    </row>
    <row r="9" spans="1:14" ht="15.75">
      <c r="A9" s="62">
        <v>5</v>
      </c>
      <c r="B9" s="51" t="s">
        <v>7</v>
      </c>
      <c r="C9" s="79">
        <f t="shared" si="1"/>
        <v>30430.7</v>
      </c>
      <c r="D9" s="78">
        <f t="shared" si="0"/>
        <v>30430.7</v>
      </c>
      <c r="E9" s="4">
        <v>7010</v>
      </c>
      <c r="F9" s="4">
        <v>500</v>
      </c>
      <c r="G9" s="21">
        <v>27</v>
      </c>
      <c r="H9" s="4">
        <f>E9*0.27</f>
        <v>1892.7</v>
      </c>
      <c r="I9" s="54">
        <f t="shared" si="2"/>
        <v>17525</v>
      </c>
      <c r="J9" s="55">
        <v>30</v>
      </c>
      <c r="K9" s="56">
        <f t="shared" si="3"/>
        <v>2103</v>
      </c>
      <c r="L9" s="46"/>
      <c r="M9" s="48">
        <v>1400</v>
      </c>
    </row>
    <row r="10" spans="1:14" ht="15.75">
      <c r="A10" s="62">
        <v>6</v>
      </c>
      <c r="B10" s="51" t="s">
        <v>17</v>
      </c>
      <c r="C10" s="79">
        <f t="shared" si="1"/>
        <v>31161.599999999999</v>
      </c>
      <c r="D10" s="78">
        <f t="shared" si="0"/>
        <v>31161.599999999999</v>
      </c>
      <c r="E10" s="4">
        <v>7010</v>
      </c>
      <c r="F10" s="4">
        <v>500</v>
      </c>
      <c r="G10" s="21">
        <v>36</v>
      </c>
      <c r="H10" s="4">
        <f>E10*0.36</f>
        <v>2523.6</v>
      </c>
      <c r="I10" s="54">
        <f t="shared" si="2"/>
        <v>17525</v>
      </c>
      <c r="J10" s="55">
        <v>30</v>
      </c>
      <c r="K10" s="56">
        <f t="shared" si="3"/>
        <v>2103</v>
      </c>
      <c r="L10" s="46"/>
      <c r="M10" s="48">
        <v>1500</v>
      </c>
    </row>
    <row r="11" spans="1:14" ht="15.75">
      <c r="A11" s="62">
        <v>7</v>
      </c>
      <c r="B11" s="51" t="s">
        <v>19</v>
      </c>
      <c r="C11" s="79">
        <f t="shared" si="1"/>
        <v>21704.400000000001</v>
      </c>
      <c r="D11" s="78">
        <f t="shared" si="0"/>
        <v>21704.400000000001</v>
      </c>
      <c r="E11" s="4">
        <v>5110</v>
      </c>
      <c r="F11" s="4">
        <v>240</v>
      </c>
      <c r="G11" s="21">
        <v>24</v>
      </c>
      <c r="H11" s="4">
        <f>E11*0.24</f>
        <v>1226.3999999999999</v>
      </c>
      <c r="I11" s="54">
        <f t="shared" si="2"/>
        <v>12775</v>
      </c>
      <c r="J11" s="55">
        <v>30</v>
      </c>
      <c r="K11" s="56">
        <f t="shared" si="3"/>
        <v>1533</v>
      </c>
      <c r="L11" s="46"/>
      <c r="M11" s="48">
        <v>820</v>
      </c>
    </row>
    <row r="12" spans="1:14" s="76" customFormat="1" ht="15.75">
      <c r="A12" s="72">
        <v>8</v>
      </c>
      <c r="B12" s="73" t="s">
        <v>8</v>
      </c>
      <c r="C12" s="79">
        <f t="shared" si="1"/>
        <v>22837.5</v>
      </c>
      <c r="D12" s="78">
        <f t="shared" si="0"/>
        <v>22837.5</v>
      </c>
      <c r="E12" s="71">
        <v>5110</v>
      </c>
      <c r="F12" s="71">
        <v>300</v>
      </c>
      <c r="G12" s="74">
        <v>45</v>
      </c>
      <c r="H12" s="71">
        <f>E12*0.45</f>
        <v>2299.5</v>
      </c>
      <c r="I12" s="54">
        <f t="shared" si="2"/>
        <v>12775</v>
      </c>
      <c r="J12" s="55">
        <v>30</v>
      </c>
      <c r="K12" s="56">
        <f t="shared" si="3"/>
        <v>1533</v>
      </c>
      <c r="L12" s="75"/>
      <c r="M12" s="48">
        <v>820</v>
      </c>
    </row>
    <row r="13" spans="1:14" ht="15.75">
      <c r="A13" s="62">
        <v>9</v>
      </c>
      <c r="B13" s="51" t="s">
        <v>9</v>
      </c>
      <c r="C13" s="79">
        <f t="shared" si="1"/>
        <v>23093</v>
      </c>
      <c r="D13" s="78">
        <f t="shared" si="0"/>
        <v>23093</v>
      </c>
      <c r="E13" s="4">
        <v>5110</v>
      </c>
      <c r="F13" s="4">
        <v>300</v>
      </c>
      <c r="G13" s="21">
        <v>50</v>
      </c>
      <c r="H13" s="4">
        <f>E13*0.5</f>
        <v>2555</v>
      </c>
      <c r="I13" s="54">
        <f t="shared" si="2"/>
        <v>12775</v>
      </c>
      <c r="J13" s="55">
        <v>30</v>
      </c>
      <c r="K13" s="56">
        <f t="shared" si="3"/>
        <v>1533</v>
      </c>
      <c r="L13" s="46"/>
      <c r="M13" s="48">
        <v>820</v>
      </c>
    </row>
    <row r="14" spans="1:14" ht="15.75">
      <c r="A14" s="62">
        <v>10</v>
      </c>
      <c r="B14" s="51" t="s">
        <v>52</v>
      </c>
      <c r="C14" s="79">
        <f t="shared" si="1"/>
        <v>20744.599999999999</v>
      </c>
      <c r="D14" s="78">
        <f t="shared" si="0"/>
        <v>20744.599999999999</v>
      </c>
      <c r="E14" s="4">
        <v>5110</v>
      </c>
      <c r="F14" s="4">
        <v>200</v>
      </c>
      <c r="G14" s="21">
        <v>6</v>
      </c>
      <c r="H14" s="4">
        <f>E14*0.06</f>
        <v>306.59999999999997</v>
      </c>
      <c r="I14" s="54">
        <f t="shared" si="2"/>
        <v>12775</v>
      </c>
      <c r="J14" s="55">
        <v>30</v>
      </c>
      <c r="K14" s="56">
        <f t="shared" si="3"/>
        <v>1533</v>
      </c>
      <c r="L14" s="46"/>
      <c r="M14" s="48">
        <v>820</v>
      </c>
    </row>
    <row r="15" spans="1:14" ht="15.75">
      <c r="A15" s="62">
        <v>11</v>
      </c>
      <c r="B15" s="51" t="s">
        <v>11</v>
      </c>
      <c r="C15" s="79">
        <f t="shared" si="1"/>
        <v>22577.599999999999</v>
      </c>
      <c r="D15" s="78">
        <f t="shared" si="0"/>
        <v>22577.599999999999</v>
      </c>
      <c r="E15" s="4">
        <v>5110</v>
      </c>
      <c r="F15" s="4">
        <v>500</v>
      </c>
      <c r="G15" s="21">
        <v>36</v>
      </c>
      <c r="H15" s="4">
        <f>E15*0.36</f>
        <v>1839.6</v>
      </c>
      <c r="I15" s="54">
        <f t="shared" si="2"/>
        <v>12775</v>
      </c>
      <c r="J15" s="55">
        <v>30</v>
      </c>
      <c r="K15" s="56">
        <f t="shared" si="3"/>
        <v>1533</v>
      </c>
      <c r="L15" s="46"/>
      <c r="M15" s="48">
        <v>820</v>
      </c>
    </row>
    <row r="16" spans="1:14" ht="15.75">
      <c r="A16" s="62">
        <v>12</v>
      </c>
      <c r="B16" s="51" t="s">
        <v>12</v>
      </c>
      <c r="C16" s="79">
        <f t="shared" si="1"/>
        <v>22584.2</v>
      </c>
      <c r="D16" s="78">
        <f t="shared" si="0"/>
        <v>22584.2</v>
      </c>
      <c r="E16" s="4">
        <v>5110</v>
      </c>
      <c r="F16" s="4">
        <v>200</v>
      </c>
      <c r="G16" s="21">
        <v>42</v>
      </c>
      <c r="H16" s="4">
        <f>E16*0.42</f>
        <v>2146.1999999999998</v>
      </c>
      <c r="I16" s="54">
        <f t="shared" si="2"/>
        <v>12775</v>
      </c>
      <c r="J16" s="55">
        <v>30</v>
      </c>
      <c r="K16" s="56">
        <f t="shared" si="3"/>
        <v>1533</v>
      </c>
      <c r="L16" s="46"/>
      <c r="M16" s="48">
        <v>820</v>
      </c>
    </row>
    <row r="17" spans="1:13" ht="15.75">
      <c r="A17" s="62">
        <v>13</v>
      </c>
      <c r="B17" s="51" t="s">
        <v>13</v>
      </c>
      <c r="C17" s="79">
        <f t="shared" si="1"/>
        <v>20897.900000000001</v>
      </c>
      <c r="D17" s="78">
        <f t="shared" si="0"/>
        <v>20897.900000000001</v>
      </c>
      <c r="E17" s="4">
        <v>5110</v>
      </c>
      <c r="F17" s="4">
        <v>200</v>
      </c>
      <c r="G17" s="21">
        <v>9</v>
      </c>
      <c r="H17" s="4">
        <f>E17*0.09</f>
        <v>459.9</v>
      </c>
      <c r="I17" s="54">
        <f t="shared" si="2"/>
        <v>12775</v>
      </c>
      <c r="J17" s="55">
        <v>30</v>
      </c>
      <c r="K17" s="56">
        <f t="shared" si="3"/>
        <v>1533</v>
      </c>
      <c r="L17" s="46"/>
      <c r="M17" s="48">
        <v>820</v>
      </c>
    </row>
    <row r="18" spans="1:13" ht="15.75">
      <c r="A18" s="62">
        <v>14</v>
      </c>
      <c r="B18" s="51" t="s">
        <v>14</v>
      </c>
      <c r="C18" s="79">
        <f t="shared" si="1"/>
        <v>21204.5</v>
      </c>
      <c r="D18" s="78">
        <f t="shared" si="0"/>
        <v>21204.5</v>
      </c>
      <c r="E18" s="4">
        <v>5110</v>
      </c>
      <c r="F18" s="4">
        <v>200</v>
      </c>
      <c r="G18" s="21">
        <v>15</v>
      </c>
      <c r="H18" s="4">
        <f>E18*0.15</f>
        <v>766.5</v>
      </c>
      <c r="I18" s="54">
        <f t="shared" si="2"/>
        <v>12775</v>
      </c>
      <c r="J18" s="55">
        <v>30</v>
      </c>
      <c r="K18" s="56">
        <f t="shared" si="3"/>
        <v>1533</v>
      </c>
      <c r="L18" s="46"/>
      <c r="M18" s="48">
        <v>820</v>
      </c>
    </row>
    <row r="19" spans="1:13" ht="15.75">
      <c r="A19" s="62">
        <v>15</v>
      </c>
      <c r="B19" s="51" t="s">
        <v>18</v>
      </c>
      <c r="C19" s="79">
        <f>D19</f>
        <v>19264.099999999999</v>
      </c>
      <c r="D19" s="78">
        <f t="shared" si="0"/>
        <v>19264.099999999999</v>
      </c>
      <c r="E19" s="4">
        <v>4690</v>
      </c>
      <c r="F19" s="4">
        <v>200</v>
      </c>
      <c r="G19" s="21">
        <v>9</v>
      </c>
      <c r="H19" s="4">
        <f>E19*0.09</f>
        <v>422.09999999999997</v>
      </c>
      <c r="I19" s="54">
        <f t="shared" si="2"/>
        <v>11725</v>
      </c>
      <c r="J19" s="55">
        <v>30</v>
      </c>
      <c r="K19" s="56">
        <f t="shared" si="3"/>
        <v>1407</v>
      </c>
      <c r="L19" s="46"/>
      <c r="M19" s="48">
        <v>820</v>
      </c>
    </row>
    <row r="20" spans="1:13" ht="15.75">
      <c r="A20" s="62">
        <v>16</v>
      </c>
      <c r="B20" s="51" t="s">
        <v>28</v>
      </c>
      <c r="C20" s="79">
        <f t="shared" si="1"/>
        <v>20591.3</v>
      </c>
      <c r="D20" s="78">
        <f t="shared" si="0"/>
        <v>20591.3</v>
      </c>
      <c r="E20" s="4">
        <v>5110</v>
      </c>
      <c r="F20" s="4">
        <v>200</v>
      </c>
      <c r="G20" s="21">
        <v>3</v>
      </c>
      <c r="H20" s="4">
        <f>E20*0.03</f>
        <v>153.29999999999998</v>
      </c>
      <c r="I20" s="54">
        <f t="shared" si="2"/>
        <v>12775</v>
      </c>
      <c r="J20" s="55">
        <v>30</v>
      </c>
      <c r="K20" s="56">
        <f t="shared" si="3"/>
        <v>1533</v>
      </c>
      <c r="L20" s="46"/>
      <c r="M20" s="48">
        <v>820</v>
      </c>
    </row>
    <row r="21" spans="1:13" ht="16.399999999999999" thickBot="1">
      <c r="A21" s="63">
        <v>17</v>
      </c>
      <c r="B21" s="52" t="s">
        <v>21</v>
      </c>
      <c r="C21" s="79">
        <f t="shared" si="1"/>
        <v>21817.7</v>
      </c>
      <c r="D21" s="78">
        <f t="shared" si="0"/>
        <v>21817.7</v>
      </c>
      <c r="E21" s="4">
        <v>5110</v>
      </c>
      <c r="F21" s="4">
        <v>200</v>
      </c>
      <c r="G21" s="21">
        <v>27</v>
      </c>
      <c r="H21" s="4">
        <f>E21*0.27</f>
        <v>1379.7</v>
      </c>
      <c r="I21" s="54">
        <f t="shared" si="2"/>
        <v>12775</v>
      </c>
      <c r="J21" s="55">
        <v>30</v>
      </c>
      <c r="K21" s="56">
        <f t="shared" si="3"/>
        <v>1533</v>
      </c>
      <c r="L21" s="46"/>
      <c r="M21" s="48">
        <v>820</v>
      </c>
    </row>
    <row r="22" spans="1:13" ht="16.399999999999999" thickBot="1">
      <c r="A22" s="88">
        <v>18</v>
      </c>
      <c r="B22" s="52" t="s">
        <v>59</v>
      </c>
      <c r="C22" s="79">
        <f t="shared" si="1"/>
        <v>5110</v>
      </c>
      <c r="D22" s="78">
        <f t="shared" si="0"/>
        <v>5110</v>
      </c>
      <c r="E22" s="89">
        <v>5110</v>
      </c>
      <c r="F22" s="89"/>
      <c r="G22" s="90"/>
      <c r="H22" s="89"/>
      <c r="I22" s="54"/>
      <c r="J22" s="55"/>
      <c r="K22" s="56"/>
      <c r="L22" s="91"/>
      <c r="M22" s="92"/>
    </row>
    <row r="23" spans="1:13" ht="16.399999999999999" thickBot="1">
      <c r="A23" s="64">
        <v>19</v>
      </c>
      <c r="B23" s="86" t="s">
        <v>16</v>
      </c>
      <c r="C23" s="79">
        <f t="shared" si="1"/>
        <v>6500</v>
      </c>
      <c r="D23" s="78">
        <f t="shared" si="0"/>
        <v>6500</v>
      </c>
      <c r="E23" s="82">
        <v>6500</v>
      </c>
      <c r="F23" s="82"/>
      <c r="G23" s="83"/>
      <c r="H23" s="82"/>
      <c r="I23" s="54"/>
      <c r="J23" s="55"/>
      <c r="K23" s="56"/>
      <c r="L23" s="84"/>
      <c r="M23" s="85"/>
    </row>
    <row r="24" spans="1:13" ht="16.399999999999999" thickBot="1">
      <c r="A24" s="64"/>
      <c r="B24" s="31" t="s">
        <v>3</v>
      </c>
      <c r="C24" s="87">
        <f>SUM(C5:C23)</f>
        <v>479715.6</v>
      </c>
      <c r="D24" s="87">
        <f>SUM(D5:D23)</f>
        <v>479715.6</v>
      </c>
      <c r="E24" s="87">
        <f t="shared" ref="E24:M24" si="4">SUM(E5:E23)</f>
        <v>118750</v>
      </c>
      <c r="F24" s="87">
        <f t="shared" si="4"/>
        <v>5980</v>
      </c>
      <c r="G24" s="87"/>
      <c r="H24" s="87">
        <f t="shared" si="4"/>
        <v>33173.599999999991</v>
      </c>
      <c r="I24" s="87">
        <f t="shared" si="4"/>
        <v>267850</v>
      </c>
      <c r="J24" s="87">
        <f t="shared" si="4"/>
        <v>510</v>
      </c>
      <c r="K24" s="87">
        <f t="shared" si="4"/>
        <v>32142</v>
      </c>
      <c r="L24" s="87">
        <f t="shared" si="4"/>
        <v>0</v>
      </c>
      <c r="M24" s="87">
        <f t="shared" si="4"/>
        <v>21820</v>
      </c>
    </row>
    <row r="25" spans="1:13">
      <c r="D25" s="29"/>
    </row>
    <row r="26" spans="1:13" ht="18.350000000000001">
      <c r="B26" s="7" t="s">
        <v>58</v>
      </c>
      <c r="C26" s="81">
        <v>640830</v>
      </c>
      <c r="D26" s="8"/>
      <c r="E26" s="77"/>
      <c r="F26" s="29"/>
    </row>
    <row r="28" spans="1:13">
      <c r="B28" t="s">
        <v>55</v>
      </c>
      <c r="C28" s="80">
        <f>C26-C24</f>
        <v>161114.40000000002</v>
      </c>
      <c r="D28" s="14"/>
    </row>
  </sheetData>
  <mergeCells count="4">
    <mergeCell ref="B1:K1"/>
    <mergeCell ref="C3:C4"/>
    <mergeCell ref="D3:D4"/>
    <mergeCell ref="A3:A4"/>
  </mergeCells>
  <pageMargins left="0.28999999999999998" right="0.2" top="0.74803149606299213" bottom="0.31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лютий  (2)</vt:lpstr>
      <vt:lpstr>доп груд</vt:lpstr>
      <vt:lpstr>доп жовт</vt:lpstr>
      <vt:lpstr>жовт доп</vt:lpstr>
      <vt:lpstr>лютий 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ДСА12</cp:lastModifiedBy>
  <cp:lastPrinted>2020-04-09T13:57:31Z</cp:lastPrinted>
  <dcterms:created xsi:type="dcterms:W3CDTF">2017-01-19T08:17:54Z</dcterms:created>
  <dcterms:modified xsi:type="dcterms:W3CDTF">2020-04-09T14:00:33Z</dcterms:modified>
</cp:coreProperties>
</file>