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4400" windowHeight="12300" tabRatio="623" firstSheet="9" activeTab="14"/>
  </bookViews>
  <sheets>
    <sheet name="прожитковий" sheetId="21" r:id="rId1"/>
    <sheet name="структура 2014" sheetId="49" r:id="rId2"/>
    <sheet name=" 06(проди)" sheetId="19" r:id="rId3"/>
    <sheet name="618(проди)" sheetId="20" r:id="rId4"/>
    <sheet name="прац(проди)" sheetId="11" r:id="rId5"/>
    <sheet name="пенс(проди)" sheetId="12" r:id="rId6"/>
    <sheet name="загальнос" sheetId="7" r:id="rId7"/>
    <sheet name="0-6(непроди)" sheetId="18" r:id="rId8"/>
    <sheet name="6-18(непроди)" sheetId="17" r:id="rId9"/>
    <sheet name="прац(непроди)" sheetId="14" r:id="rId10"/>
    <sheet name="пен(непроди)" sheetId="13" r:id="rId11"/>
    <sheet name="газ" sheetId="50" r:id="rId12"/>
    <sheet name="ком(послуги)" sheetId="22" r:id="rId13"/>
    <sheet name="побутові" sheetId="26" r:id="rId14"/>
    <sheet name="транспорт" sheetId="25" r:id="rId15"/>
  </sheets>
  <definedNames>
    <definedName name="_xlnm.Print_Area" localSheetId="2">' 06(проди)'!#REF!</definedName>
    <definedName name="_xlnm.Print_Area" localSheetId="7">'0-6(непроди)'!#REF!</definedName>
    <definedName name="_xlnm.Print_Area" localSheetId="8">'6-18(непроди)'!$A$1:$F$57</definedName>
    <definedName name="_xlnm.Print_Area" localSheetId="3">'618(проди)'!$A$1:$F$72</definedName>
    <definedName name="_xlnm.Print_Area" localSheetId="11">газ!$A$1:$F$42</definedName>
    <definedName name="_xlnm.Print_Area" localSheetId="6">загальнос!#REF!</definedName>
    <definedName name="_xlnm.Print_Area" localSheetId="12">'ком(послуги)'!$A$1:$G$46</definedName>
    <definedName name="_xlnm.Print_Area" localSheetId="5">'пенс(проди)'!$A$1:$F$57</definedName>
    <definedName name="_xlnm.Print_Area" localSheetId="13">побутові!$A$1:$L$26</definedName>
    <definedName name="_xlnm.Print_Area" localSheetId="9">'прац(непроди)'!$A$1:$F$75</definedName>
    <definedName name="_xlnm.Print_Area" localSheetId="4">'прац(проди)'!$A$1:$F$58</definedName>
    <definedName name="_xlnm.Print_Area" localSheetId="0">прожитковий!#REF!</definedName>
    <definedName name="_xlnm.Print_Area" localSheetId="1">'структура 2014'!$A$4:$H$29</definedName>
    <definedName name="_xlnm.Print_Area" localSheetId="14">транспорт!$A$1:$K$22</definedName>
  </definedNames>
  <calcPr calcId="125725"/>
</workbook>
</file>

<file path=xl/calcChain.xml><?xml version="1.0" encoding="utf-8"?>
<calcChain xmlns="http://schemas.openxmlformats.org/spreadsheetml/2006/main">
  <c r="C17" i="25"/>
  <c r="D23" i="26"/>
  <c r="E42" i="22"/>
  <c r="E51" i="12"/>
  <c r="E45"/>
  <c r="E42"/>
  <c r="E35"/>
  <c r="E29"/>
  <c r="E28"/>
  <c r="E31"/>
  <c r="E48" i="11"/>
  <c r="E44"/>
  <c r="E41"/>
  <c r="E33"/>
  <c r="E25"/>
  <c r="E24"/>
  <c r="E65" i="20"/>
  <c r="E64"/>
  <c r="E59"/>
  <c r="E58"/>
  <c r="E57"/>
  <c r="E55"/>
  <c r="E44"/>
  <c r="E32"/>
  <c r="E65" i="19"/>
  <c r="E64"/>
  <c r="E59"/>
  <c r="E58"/>
  <c r="E57"/>
  <c r="E55"/>
  <c r="E44"/>
  <c r="E32"/>
  <c r="F27" i="50"/>
  <c r="F9" i="11"/>
  <c r="F10"/>
  <c r="F11"/>
  <c r="F12"/>
  <c r="F13"/>
  <c r="F14"/>
  <c r="F15"/>
  <c r="F16"/>
  <c r="F17"/>
  <c r="F18"/>
  <c r="F19"/>
  <c r="F20"/>
  <c r="F22"/>
  <c r="F23"/>
  <c r="F24"/>
  <c r="F25"/>
  <c r="F26"/>
  <c r="E27"/>
  <c r="F27"/>
  <c r="F29"/>
  <c r="F30"/>
  <c r="F32"/>
  <c r="F33"/>
  <c r="F34"/>
  <c r="F35"/>
  <c r="F37"/>
  <c r="F38"/>
  <c r="F39"/>
  <c r="F40"/>
  <c r="F41"/>
  <c r="F42"/>
  <c r="F43"/>
  <c r="F44"/>
  <c r="F46"/>
  <c r="F47"/>
  <c r="F48"/>
  <c r="F50"/>
  <c r="F51"/>
  <c r="F52"/>
  <c r="F53"/>
  <c r="F54"/>
  <c r="F55"/>
  <c r="F56"/>
  <c r="D13" i="14"/>
  <c r="F13"/>
  <c r="D14"/>
  <c r="F14"/>
  <c r="D16"/>
  <c r="F16"/>
  <c r="D17"/>
  <c r="F17"/>
  <c r="D18"/>
  <c r="F18"/>
  <c r="D20"/>
  <c r="F20"/>
  <c r="D21"/>
  <c r="F21"/>
  <c r="D22"/>
  <c r="F22"/>
  <c r="D23"/>
  <c r="F23"/>
  <c r="D25"/>
  <c r="F25"/>
  <c r="D26"/>
  <c r="F26"/>
  <c r="D27"/>
  <c r="F27"/>
  <c r="D28"/>
  <c r="F28"/>
  <c r="D29"/>
  <c r="F29"/>
  <c r="D30"/>
  <c r="F30"/>
  <c r="D31"/>
  <c r="F31"/>
  <c r="D32"/>
  <c r="F32"/>
  <c r="D33"/>
  <c r="F33"/>
  <c r="D35"/>
  <c r="F35"/>
  <c r="D36"/>
  <c r="F36"/>
  <c r="D37"/>
  <c r="F37"/>
  <c r="D38"/>
  <c r="F38"/>
  <c r="D39"/>
  <c r="F39"/>
  <c r="D40"/>
  <c r="F40"/>
  <c r="D41"/>
  <c r="F41"/>
  <c r="D42"/>
  <c r="F42"/>
  <c r="D44"/>
  <c r="F44"/>
  <c r="D45"/>
  <c r="F45"/>
  <c r="D46"/>
  <c r="F46"/>
  <c r="D48"/>
  <c r="F48"/>
  <c r="D49"/>
  <c r="D51"/>
  <c r="F51"/>
  <c r="D53"/>
  <c r="D55"/>
  <c r="F55"/>
  <c r="D56"/>
  <c r="F56"/>
  <c r="D59"/>
  <c r="F59"/>
  <c r="D60"/>
  <c r="F60"/>
  <c r="D62"/>
  <c r="F62"/>
  <c r="D63"/>
  <c r="F63"/>
  <c r="D65"/>
  <c r="F65"/>
  <c r="D66"/>
  <c r="F66"/>
  <c r="D67"/>
  <c r="F67"/>
  <c r="D68"/>
  <c r="F68"/>
  <c r="D69"/>
  <c r="F69"/>
  <c r="D70"/>
  <c r="F70"/>
  <c r="D71"/>
  <c r="F71"/>
  <c r="D11" i="7"/>
  <c r="F11"/>
  <c r="D12"/>
  <c r="F12"/>
  <c r="F13"/>
  <c r="D13"/>
  <c r="D15"/>
  <c r="F15"/>
  <c r="D16"/>
  <c r="F16"/>
  <c r="D17"/>
  <c r="F17"/>
  <c r="D18"/>
  <c r="F18"/>
  <c r="D19"/>
  <c r="F19"/>
  <c r="D23"/>
  <c r="F23"/>
  <c r="D24"/>
  <c r="F24"/>
  <c r="D25"/>
  <c r="F25"/>
  <c r="D26"/>
  <c r="F26"/>
  <c r="D27"/>
  <c r="F27"/>
  <c r="D29"/>
  <c r="F29"/>
  <c r="D30"/>
  <c r="F30"/>
  <c r="D31"/>
  <c r="F31"/>
  <c r="D35"/>
  <c r="F35"/>
  <c r="D36"/>
  <c r="F36"/>
  <c r="D37"/>
  <c r="F37"/>
  <c r="D38"/>
  <c r="F38"/>
  <c r="D39"/>
  <c r="F39"/>
  <c r="D40"/>
  <c r="F40"/>
  <c r="D41"/>
  <c r="F41"/>
  <c r="D42"/>
  <c r="F42"/>
  <c r="D45"/>
  <c r="F45"/>
  <c r="D46"/>
  <c r="F46"/>
  <c r="D47"/>
  <c r="F47"/>
  <c r="D48"/>
  <c r="F48"/>
  <c r="D49"/>
  <c r="F49"/>
  <c r="D50"/>
  <c r="F50"/>
  <c r="D56"/>
  <c r="F56"/>
  <c r="D57"/>
  <c r="D58"/>
  <c r="D60"/>
  <c r="F60"/>
  <c r="D61"/>
  <c r="F61"/>
  <c r="D63"/>
  <c r="F63"/>
  <c r="D64"/>
  <c r="F64"/>
  <c r="D65"/>
  <c r="F65"/>
  <c r="D66"/>
  <c r="F66"/>
  <c r="D67"/>
  <c r="F67"/>
  <c r="F71"/>
  <c r="D71"/>
  <c r="D72"/>
  <c r="F72"/>
  <c r="D73"/>
  <c r="F73"/>
  <c r="D75"/>
  <c r="F75"/>
  <c r="D76"/>
  <c r="F76"/>
  <c r="D78"/>
  <c r="F78"/>
  <c r="D79"/>
  <c r="F79"/>
  <c r="D80"/>
  <c r="F80"/>
  <c r="F10" i="22"/>
  <c r="G10"/>
  <c r="F24"/>
  <c r="F14"/>
  <c r="F17"/>
  <c r="F20"/>
  <c r="F15"/>
  <c r="G15"/>
  <c r="F18"/>
  <c r="F21"/>
  <c r="G21"/>
  <c r="F30"/>
  <c r="G30"/>
  <c r="C14" i="50"/>
  <c r="F14"/>
  <c r="C17"/>
  <c r="F17"/>
  <c r="F23"/>
  <c r="J12" i="25"/>
  <c r="J17"/>
  <c r="K11" i="26"/>
  <c r="K13"/>
  <c r="K14"/>
  <c r="K16"/>
  <c r="K17"/>
  <c r="K18"/>
  <c r="K20"/>
  <c r="K21"/>
  <c r="K23"/>
  <c r="F33" i="22"/>
  <c r="F34"/>
  <c r="G34"/>
  <c r="F36"/>
  <c r="G36"/>
  <c r="F40"/>
  <c r="G40"/>
  <c r="I23" i="26"/>
  <c r="I25"/>
  <c r="I26"/>
  <c r="D34" i="18"/>
  <c r="F34"/>
  <c r="D32"/>
  <c r="F32"/>
  <c r="D33"/>
  <c r="F33"/>
  <c r="D15"/>
  <c r="F15"/>
  <c r="F14"/>
  <c r="D18"/>
  <c r="F18"/>
  <c r="F17"/>
  <c r="D20"/>
  <c r="F20"/>
  <c r="D22"/>
  <c r="F22"/>
  <c r="D24"/>
  <c r="F24"/>
  <c r="D26"/>
  <c r="F26"/>
  <c r="D27"/>
  <c r="F27"/>
  <c r="D28"/>
  <c r="F28"/>
  <c r="D29"/>
  <c r="F29"/>
  <c r="D36"/>
  <c r="F36"/>
  <c r="D37"/>
  <c r="F37"/>
  <c r="D38"/>
  <c r="F38"/>
  <c r="D40"/>
  <c r="F40"/>
  <c r="F39"/>
  <c r="D44"/>
  <c r="F44"/>
  <c r="F42"/>
  <c r="D46"/>
  <c r="F46"/>
  <c r="F45"/>
  <c r="D48"/>
  <c r="F48"/>
  <c r="F47"/>
  <c r="D50"/>
  <c r="F50"/>
  <c r="F49"/>
  <c r="D51"/>
  <c r="F51"/>
  <c r="D52"/>
  <c r="F52"/>
  <c r="F13" i="19"/>
  <c r="F12"/>
  <c r="F15"/>
  <c r="F16"/>
  <c r="F17"/>
  <c r="F18"/>
  <c r="F19"/>
  <c r="F20"/>
  <c r="F21"/>
  <c r="F14"/>
  <c r="F22"/>
  <c r="F24"/>
  <c r="F38"/>
  <c r="F26"/>
  <c r="F27"/>
  <c r="F28"/>
  <c r="F31"/>
  <c r="F29"/>
  <c r="F30"/>
  <c r="F35"/>
  <c r="F37"/>
  <c r="F34"/>
  <c r="F39"/>
  <c r="F41"/>
  <c r="F36"/>
  <c r="F40"/>
  <c r="F58"/>
  <c r="F55"/>
  <c r="F56"/>
  <c r="F57"/>
  <c r="F60"/>
  <c r="F61"/>
  <c r="F62"/>
  <c r="F49"/>
  <c r="F50"/>
  <c r="F45"/>
  <c r="F51"/>
  <c r="F52"/>
  <c r="F53"/>
  <c r="F47"/>
  <c r="F64"/>
  <c r="F65"/>
  <c r="F42"/>
  <c r="F43"/>
  <c r="F46"/>
  <c r="F68"/>
  <c r="F69"/>
  <c r="F23"/>
  <c r="F70"/>
  <c r="F44"/>
  <c r="F67"/>
  <c r="F59"/>
  <c r="F66"/>
  <c r="J23" i="26"/>
  <c r="J16"/>
  <c r="J20"/>
  <c r="I17" i="25"/>
  <c r="F13" i="20"/>
  <c r="F12"/>
  <c r="F15"/>
  <c r="F16"/>
  <c r="F17"/>
  <c r="F18"/>
  <c r="F19"/>
  <c r="F20"/>
  <c r="F21"/>
  <c r="F14"/>
  <c r="F22"/>
  <c r="F24"/>
  <c r="F38"/>
  <c r="F26"/>
  <c r="F29"/>
  <c r="F30"/>
  <c r="F32"/>
  <c r="F27"/>
  <c r="F28"/>
  <c r="F31"/>
  <c r="F35"/>
  <c r="F37"/>
  <c r="F34"/>
  <c r="F39"/>
  <c r="F41"/>
  <c r="F36"/>
  <c r="F40"/>
  <c r="F58"/>
  <c r="F55"/>
  <c r="F56"/>
  <c r="F57"/>
  <c r="F60"/>
  <c r="F61"/>
  <c r="F62"/>
  <c r="F49"/>
  <c r="F50"/>
  <c r="F45"/>
  <c r="F51"/>
  <c r="F52"/>
  <c r="F53"/>
  <c r="F47"/>
  <c r="F64"/>
  <c r="F65"/>
  <c r="F42"/>
  <c r="F43"/>
  <c r="F46"/>
  <c r="F68"/>
  <c r="F69"/>
  <c r="F23"/>
  <c r="F70"/>
  <c r="F44"/>
  <c r="F67"/>
  <c r="F59"/>
  <c r="F66"/>
  <c r="D28" i="17"/>
  <c r="F28"/>
  <c r="D29"/>
  <c r="F29"/>
  <c r="D30"/>
  <c r="F30"/>
  <c r="F27"/>
  <c r="D32"/>
  <c r="F32"/>
  <c r="D33"/>
  <c r="F33"/>
  <c r="D34"/>
  <c r="F34"/>
  <c r="D36"/>
  <c r="D39"/>
  <c r="F39"/>
  <c r="F38"/>
  <c r="D48"/>
  <c r="D49"/>
  <c r="D13"/>
  <c r="F13"/>
  <c r="F12"/>
  <c r="D15"/>
  <c r="D18"/>
  <c r="D19"/>
  <c r="F19"/>
  <c r="D20"/>
  <c r="D21"/>
  <c r="D23"/>
  <c r="D24"/>
  <c r="F24"/>
  <c r="D25"/>
  <c r="D26"/>
  <c r="D42"/>
  <c r="D44"/>
  <c r="D46"/>
  <c r="F46"/>
  <c r="D47"/>
  <c r="F47"/>
  <c r="D51"/>
  <c r="F51"/>
  <c r="D52"/>
  <c r="F52"/>
  <c r="D53"/>
  <c r="D54"/>
  <c r="F54"/>
  <c r="L23" i="26"/>
  <c r="L13"/>
  <c r="L16"/>
  <c r="L17"/>
  <c r="L18"/>
  <c r="L19"/>
  <c r="L20"/>
  <c r="L21"/>
  <c r="D19" i="13"/>
  <c r="D18"/>
  <c r="F18"/>
  <c r="D20"/>
  <c r="F20"/>
  <c r="D15"/>
  <c r="F15"/>
  <c r="D16"/>
  <c r="F16"/>
  <c r="D22"/>
  <c r="F22"/>
  <c r="D23"/>
  <c r="F23"/>
  <c r="D24"/>
  <c r="F24"/>
  <c r="D25"/>
  <c r="D27"/>
  <c r="D28"/>
  <c r="F28"/>
  <c r="D29"/>
  <c r="F29"/>
  <c r="D30"/>
  <c r="F30"/>
  <c r="D31"/>
  <c r="D32"/>
  <c r="F32"/>
  <c r="D33"/>
  <c r="F33"/>
  <c r="D34"/>
  <c r="F34"/>
  <c r="D35"/>
  <c r="D37"/>
  <c r="F37"/>
  <c r="D38"/>
  <c r="F38"/>
  <c r="D39"/>
  <c r="D40"/>
  <c r="F40"/>
  <c r="D41"/>
  <c r="F41"/>
  <c r="D42"/>
  <c r="F42"/>
  <c r="D44"/>
  <c r="F44"/>
  <c r="D45"/>
  <c r="F45"/>
  <c r="D46"/>
  <c r="F46"/>
  <c r="D48"/>
  <c r="F48"/>
  <c r="D49"/>
  <c r="F49"/>
  <c r="D51"/>
  <c r="F51"/>
  <c r="D52"/>
  <c r="D54"/>
  <c r="F54"/>
  <c r="D56"/>
  <c r="F56"/>
  <c r="D57"/>
  <c r="D60"/>
  <c r="F60"/>
  <c r="D61"/>
  <c r="D63"/>
  <c r="F63"/>
  <c r="D64"/>
  <c r="F64"/>
  <c r="D66"/>
  <c r="F66"/>
  <c r="D67"/>
  <c r="F67"/>
  <c r="D68"/>
  <c r="F68"/>
  <c r="D69"/>
  <c r="D70"/>
  <c r="F70"/>
  <c r="D71"/>
  <c r="F71"/>
  <c r="F14" i="12"/>
  <c r="F15"/>
  <c r="F16"/>
  <c r="F17"/>
  <c r="F18"/>
  <c r="F19"/>
  <c r="F20"/>
  <c r="F21"/>
  <c r="F22"/>
  <c r="F13"/>
  <c r="F12"/>
  <c r="F23"/>
  <c r="F24"/>
  <c r="F26"/>
  <c r="F27"/>
  <c r="F29"/>
  <c r="F28"/>
  <c r="F33"/>
  <c r="F34"/>
  <c r="F42"/>
  <c r="F39"/>
  <c r="F41"/>
  <c r="F40"/>
  <c r="F43"/>
  <c r="F45"/>
  <c r="F44"/>
  <c r="F50"/>
  <c r="F51"/>
  <c r="F52"/>
  <c r="F53"/>
  <c r="F54"/>
  <c r="F55"/>
  <c r="F47"/>
  <c r="F48"/>
  <c r="F35"/>
  <c r="F37"/>
  <c r="F36"/>
  <c r="C5" i="25"/>
  <c r="C6"/>
  <c r="G14" i="22"/>
  <c r="G17"/>
  <c r="G18"/>
  <c r="G20"/>
  <c r="G24"/>
  <c r="C32" i="50"/>
  <c r="G25" i="14"/>
  <c r="G12" i="20"/>
  <c r="B14" i="49"/>
  <c r="B16"/>
  <c r="B18"/>
  <c r="B21"/>
  <c r="G21"/>
  <c r="G22"/>
  <c r="B24"/>
  <c r="G24"/>
  <c r="G26"/>
  <c r="G14"/>
  <c r="H14"/>
  <c r="H15"/>
  <c r="G15"/>
  <c r="G16"/>
  <c r="G17"/>
  <c r="C18"/>
  <c r="C28"/>
  <c r="D18"/>
  <c r="H21"/>
  <c r="H22"/>
  <c r="D28"/>
  <c r="J21" i="25"/>
  <c r="J22"/>
  <c r="I12"/>
  <c r="I21"/>
  <c r="I22"/>
  <c r="L14" i="26"/>
  <c r="L11"/>
  <c r="J21"/>
  <c r="J18"/>
  <c r="J11"/>
  <c r="F42" i="22"/>
  <c r="G42"/>
  <c r="F38"/>
  <c r="G38"/>
  <c r="F31"/>
  <c r="F29"/>
  <c r="F28"/>
  <c r="G28"/>
  <c r="F32"/>
  <c r="G32"/>
  <c r="G33"/>
  <c r="F45" i="17"/>
  <c r="F42"/>
  <c r="F41"/>
  <c r="F26"/>
  <c r="F25"/>
  <c r="F69" i="13"/>
  <c r="F61"/>
  <c r="F59"/>
  <c r="F57"/>
  <c r="F58"/>
  <c r="F53"/>
  <c r="F52"/>
  <c r="F47"/>
  <c r="F39"/>
  <c r="F35"/>
  <c r="F31"/>
  <c r="F27"/>
  <c r="F25"/>
  <c r="F19"/>
  <c r="F62"/>
  <c r="F53" i="14"/>
  <c r="F49"/>
  <c r="F58"/>
  <c r="F12"/>
  <c r="F61"/>
  <c r="F15"/>
  <c r="F47"/>
  <c r="F44" i="17"/>
  <c r="F43"/>
  <c r="F21"/>
  <c r="F20"/>
  <c r="F15"/>
  <c r="F14"/>
  <c r="F53"/>
  <c r="F23"/>
  <c r="F18"/>
  <c r="F49"/>
  <c r="F48"/>
  <c r="F36"/>
  <c r="F35"/>
  <c r="F50"/>
  <c r="F31"/>
  <c r="F35" i="18"/>
  <c r="F58" i="7"/>
  <c r="F57"/>
  <c r="F55"/>
  <c r="F31" i="12"/>
  <c r="F30"/>
  <c r="F71" i="20"/>
  <c r="F72"/>
  <c r="H24" i="49"/>
  <c r="H26"/>
  <c r="B28"/>
  <c r="F14"/>
  <c r="E18"/>
  <c r="G28"/>
  <c r="H16"/>
  <c r="H17"/>
  <c r="F16"/>
  <c r="F56" i="12"/>
  <c r="F57"/>
  <c r="K12" i="26"/>
  <c r="J12"/>
  <c r="J25"/>
  <c r="J26"/>
  <c r="L12"/>
  <c r="L25"/>
  <c r="L26"/>
  <c r="F65" i="13"/>
  <c r="F43"/>
  <c r="F36"/>
  <c r="F17"/>
  <c r="F68" i="7"/>
  <c r="F62"/>
  <c r="F53"/>
  <c r="F51"/>
  <c r="F43"/>
  <c r="F13" i="22"/>
  <c r="G13"/>
  <c r="F12"/>
  <c r="G12"/>
  <c r="F28" i="7"/>
  <c r="F21"/>
  <c r="F64" i="14"/>
  <c r="F43"/>
  <c r="F19"/>
  <c r="F81" i="7"/>
  <c r="F69"/>
  <c r="F57" i="14"/>
  <c r="F52"/>
  <c r="F14" i="13"/>
  <c r="F17" i="17"/>
  <c r="F11"/>
  <c r="F19" i="18"/>
  <c r="F13"/>
  <c r="F31"/>
  <c r="K25" i="26"/>
  <c r="K26"/>
  <c r="F11" i="50"/>
  <c r="F35"/>
  <c r="F42"/>
  <c r="G31" i="22"/>
  <c r="G29"/>
  <c r="F33" i="7"/>
  <c r="F34" i="14"/>
  <c r="F57" i="11"/>
  <c r="F58"/>
  <c r="F32" i="19"/>
  <c r="F71"/>
  <c r="F72"/>
  <c r="D14" i="7"/>
  <c r="F14"/>
  <c r="F10"/>
  <c r="F25" i="22"/>
  <c r="G25"/>
  <c r="F21" i="13"/>
  <c r="F12"/>
  <c r="F10" i="14"/>
  <c r="F82" i="7"/>
  <c r="F53" i="18"/>
  <c r="F54"/>
  <c r="F55" s="1"/>
  <c r="F55" i="17"/>
  <c r="F56" s="1"/>
  <c r="F57" s="1"/>
  <c r="F73" i="14"/>
  <c r="F72" i="13"/>
  <c r="F73" s="1"/>
  <c r="F74" s="1"/>
  <c r="F83" i="7"/>
  <c r="F74" i="14"/>
  <c r="F75" s="1"/>
  <c r="E16" i="49"/>
  <c r="E17"/>
  <c r="E21"/>
  <c r="E22"/>
  <c r="E24"/>
  <c r="E26"/>
  <c r="H28"/>
  <c r="E14"/>
  <c r="F23" i="22"/>
  <c r="G23"/>
  <c r="F27"/>
  <c r="G27"/>
  <c r="F18" i="49"/>
  <c r="E28"/>
  <c r="E15"/>
  <c r="E17" i="21"/>
  <c r="G17"/>
  <c r="I17"/>
  <c r="C17"/>
  <c r="C34"/>
  <c r="I34"/>
  <c r="J17"/>
  <c r="G32"/>
  <c r="G34"/>
  <c r="G35"/>
  <c r="E34"/>
  <c r="H14"/>
  <c r="H12"/>
  <c r="D14"/>
  <c r="D12"/>
  <c r="F12"/>
  <c r="F14"/>
  <c r="J14"/>
  <c r="J12"/>
  <c r="F17"/>
  <c r="D17"/>
  <c r="H17"/>
  <c r="F38"/>
  <c r="G37"/>
  <c r="H32"/>
  <c r="D34"/>
  <c r="F34"/>
  <c r="H34"/>
  <c r="J34"/>
  <c r="G38"/>
</calcChain>
</file>

<file path=xl/sharedStrings.xml><?xml version="1.0" encoding="utf-8"?>
<sst xmlns="http://schemas.openxmlformats.org/spreadsheetml/2006/main" count="1913" uniqueCount="671">
  <si>
    <t>Вік</t>
  </si>
  <si>
    <t xml:space="preserve">чоловіки </t>
  </si>
  <si>
    <t>і жінки</t>
  </si>
  <si>
    <t>Особи працездатного</t>
  </si>
  <si>
    <t>віку</t>
  </si>
  <si>
    <t xml:space="preserve"> Чоловік</t>
  </si>
  <si>
    <t>чоловіки</t>
  </si>
  <si>
    <t>жінки</t>
  </si>
  <si>
    <t>№</t>
  </si>
  <si>
    <t>Кількість</t>
  </si>
  <si>
    <t>Верхній зимовий одяг</t>
  </si>
  <si>
    <t>Спортивний костюм</t>
  </si>
  <si>
    <t>Натільна білизна</t>
  </si>
  <si>
    <t>Труси</t>
  </si>
  <si>
    <t>Панчішно-шкарпеткові вироби</t>
  </si>
  <si>
    <t>Головні убори</t>
  </si>
  <si>
    <t>Галантерейні вироби</t>
  </si>
  <si>
    <t>Взуття зимове</t>
  </si>
  <si>
    <t>Взуття осінньо-весняне</t>
  </si>
  <si>
    <t>Взуття літнє та спортивне</t>
  </si>
  <si>
    <t>Костюм (сукня)</t>
  </si>
  <si>
    <t>Комбінація</t>
  </si>
  <si>
    <t>Бюстгалтер</t>
  </si>
  <si>
    <t>Брюки  для хлопчиків із джинсової тканини</t>
  </si>
  <si>
    <t>Піжама</t>
  </si>
  <si>
    <t>Колготки</t>
  </si>
  <si>
    <t>Туфлі</t>
  </si>
  <si>
    <t>Шкарпетки</t>
  </si>
  <si>
    <t>Кросове взуття</t>
  </si>
  <si>
    <t>Домашнє взуття</t>
  </si>
  <si>
    <t>Сорочка нічна</t>
  </si>
  <si>
    <t>Подушка</t>
  </si>
  <si>
    <t>Наволочка</t>
  </si>
  <si>
    <t>Предмети першої потреби</t>
  </si>
  <si>
    <t>Предмети санітарії та ліки</t>
  </si>
  <si>
    <t>Посуд</t>
  </si>
  <si>
    <t>Чайник</t>
  </si>
  <si>
    <t>Побутові прилади</t>
  </si>
  <si>
    <t>Електропраска</t>
  </si>
  <si>
    <t>Меблі</t>
  </si>
  <si>
    <t>Шафа для одягу</t>
  </si>
  <si>
    <t>Стілець</t>
  </si>
  <si>
    <t xml:space="preserve">№ </t>
  </si>
  <si>
    <t>Картопля</t>
  </si>
  <si>
    <t>Овочі та баштанні</t>
  </si>
  <si>
    <t>М'ясопродукти</t>
  </si>
  <si>
    <t>Бобові</t>
  </si>
  <si>
    <t>Рис</t>
  </si>
  <si>
    <t>Хліб пшеничний</t>
  </si>
  <si>
    <t>Хліб житній</t>
  </si>
  <si>
    <t>Макаронні вироби</t>
  </si>
  <si>
    <t>Баштанні</t>
  </si>
  <si>
    <t>Капуста</t>
  </si>
  <si>
    <t>Інші</t>
  </si>
  <si>
    <t>Сухофрукти</t>
  </si>
  <si>
    <t>Яловичина</t>
  </si>
  <si>
    <t>Свинина</t>
  </si>
  <si>
    <t>Баранина</t>
  </si>
  <si>
    <t>Сало</t>
  </si>
  <si>
    <t>Молоко незбиране</t>
  </si>
  <si>
    <t>Масло вершкове</t>
  </si>
  <si>
    <t>Сир</t>
  </si>
  <si>
    <t>Сметана</t>
  </si>
  <si>
    <t>Сир твердий</t>
  </si>
  <si>
    <t>Риба свіжа</t>
  </si>
  <si>
    <t>Оселедці</t>
  </si>
  <si>
    <t>Фрукти і ягоди</t>
  </si>
  <si>
    <t>Маргарин</t>
  </si>
  <si>
    <t>Олія</t>
  </si>
  <si>
    <t>Сіль</t>
  </si>
  <si>
    <t>Чай</t>
  </si>
  <si>
    <t>Плащ чоловічий</t>
  </si>
  <si>
    <t>Плащ жіночий</t>
  </si>
  <si>
    <t>Брюки чоловічі  із напіввовняної тканини</t>
  </si>
  <si>
    <t>Сукня жіноча із напіввовняної тканини</t>
  </si>
  <si>
    <t>Сукня жіноча із бавовняної тканини</t>
  </si>
  <si>
    <t>Халат жіночий</t>
  </si>
  <si>
    <t>Чоловічі труси</t>
  </si>
  <si>
    <t>Жіночі труси</t>
  </si>
  <si>
    <t>Текстильні вироби (білизна)</t>
  </si>
  <si>
    <t>Діти</t>
  </si>
  <si>
    <t>виміру</t>
  </si>
  <si>
    <t>Електроенергія</t>
  </si>
  <si>
    <t xml:space="preserve">Зубна щітка </t>
  </si>
  <si>
    <t xml:space="preserve">Одеколон </t>
  </si>
  <si>
    <t>Гребінка</t>
  </si>
  <si>
    <t>Санітарно-гігієнічні вироби з паперу</t>
  </si>
  <si>
    <t>кг</t>
  </si>
  <si>
    <t>штук</t>
  </si>
  <si>
    <t>упаковка</t>
  </si>
  <si>
    <t>-</t>
  </si>
  <si>
    <t>0-5 років</t>
  </si>
  <si>
    <t xml:space="preserve">Одиниця </t>
  </si>
  <si>
    <t>6-17 років</t>
  </si>
  <si>
    <t>Ціна покупки</t>
  </si>
  <si>
    <t>фактична</t>
  </si>
  <si>
    <t>%</t>
  </si>
  <si>
    <t xml:space="preserve">Обсяги споживання </t>
  </si>
  <si>
    <t>(у середньому на одного</t>
  </si>
  <si>
    <t xml:space="preserve">Найменування продуктів </t>
  </si>
  <si>
    <t>пенсіонера на рік,</t>
  </si>
  <si>
    <t>в т.ч. чоловіки, жінки у %)</t>
  </si>
  <si>
    <t>Назва товарів</t>
  </si>
  <si>
    <t>Одиниця</t>
  </si>
  <si>
    <t xml:space="preserve">Обсяг </t>
  </si>
  <si>
    <t>споживання</t>
  </si>
  <si>
    <t>Вартість</t>
  </si>
  <si>
    <t xml:space="preserve">Вартість </t>
  </si>
  <si>
    <t>Питома</t>
  </si>
  <si>
    <t>вага</t>
  </si>
  <si>
    <t>Вартість продуктів харчування</t>
  </si>
  <si>
    <t>Вартість  непродовольчих</t>
  </si>
  <si>
    <t>товарів</t>
  </si>
  <si>
    <t>Транспортні послуги</t>
  </si>
  <si>
    <t>для осіб, які</t>
  </si>
  <si>
    <t>втратили праце-</t>
  </si>
  <si>
    <t>здатність</t>
  </si>
  <si>
    <t>Ковдра напіввовняна</t>
  </si>
  <si>
    <t>Люстра</t>
  </si>
  <si>
    <t>Борошно житнє</t>
  </si>
  <si>
    <t>Борошно пшеничне</t>
  </si>
  <si>
    <t>Манна крупа</t>
  </si>
  <si>
    <t>Пшоно</t>
  </si>
  <si>
    <t>Гречана крупа</t>
  </si>
  <si>
    <t>Вівсяна крупа</t>
  </si>
  <si>
    <t xml:space="preserve">Цибуля, часник </t>
  </si>
  <si>
    <t>Субпродукти та інші</t>
  </si>
  <si>
    <t xml:space="preserve">Товари індивідуального </t>
  </si>
  <si>
    <t>використання</t>
  </si>
  <si>
    <t>Дзеркало для ванної кімнати</t>
  </si>
  <si>
    <t>(в середньому на одну людину в рік)</t>
  </si>
  <si>
    <t>Користування житлом</t>
  </si>
  <si>
    <t>водовідведення</t>
  </si>
  <si>
    <t>Теплопостачання</t>
  </si>
  <si>
    <t xml:space="preserve">Цукор </t>
  </si>
  <si>
    <t xml:space="preserve">куб.метр </t>
  </si>
  <si>
    <t>Придбання газет та журналів</t>
  </si>
  <si>
    <t>Розмови місцевого телефонного</t>
  </si>
  <si>
    <t>Листування в межах України</t>
  </si>
  <si>
    <t>Радіоточка</t>
  </si>
  <si>
    <t>Телеантена</t>
  </si>
  <si>
    <t>Види побутових</t>
  </si>
  <si>
    <t>послуг</t>
  </si>
  <si>
    <t>Ремонт взуття</t>
  </si>
  <si>
    <t>Ремонт телевізорів</t>
  </si>
  <si>
    <t>Ремонт годинників</t>
  </si>
  <si>
    <t>Послуги лазень і душів</t>
  </si>
  <si>
    <t>Фотопослуги</t>
  </si>
  <si>
    <t>Перукарські послуги</t>
  </si>
  <si>
    <t>пара взуття</t>
  </si>
  <si>
    <t>телевізор</t>
  </si>
  <si>
    <t>годинник</t>
  </si>
  <si>
    <t xml:space="preserve">одиниця </t>
  </si>
  <si>
    <t>одиниця одягу</t>
  </si>
  <si>
    <t>чол/відвідувань</t>
  </si>
  <si>
    <t>замовлення</t>
  </si>
  <si>
    <t>на документи</t>
  </si>
  <si>
    <t xml:space="preserve">стрижка </t>
  </si>
  <si>
    <t>волосся</t>
  </si>
  <si>
    <t>віком до</t>
  </si>
  <si>
    <t>6 років</t>
  </si>
  <si>
    <t>віком від</t>
  </si>
  <si>
    <t>до 18 років</t>
  </si>
  <si>
    <t>Працездатні</t>
  </si>
  <si>
    <t>особи</t>
  </si>
  <si>
    <t>Особи, які</t>
  </si>
  <si>
    <t>втратили</t>
  </si>
  <si>
    <t>праце-</t>
  </si>
  <si>
    <t>(діти</t>
  </si>
  <si>
    <t>6 років)</t>
  </si>
  <si>
    <t>до 18 років)</t>
  </si>
  <si>
    <t>(працездатні</t>
  </si>
  <si>
    <t>особи)</t>
  </si>
  <si>
    <t>(особи, які</t>
  </si>
  <si>
    <t>здатність)</t>
  </si>
  <si>
    <t>хвилин</t>
  </si>
  <si>
    <t>Побутові послуги</t>
  </si>
  <si>
    <t>на одну особу</t>
  </si>
  <si>
    <t>на рік</t>
  </si>
  <si>
    <t xml:space="preserve">театрів, кінотеатрів, </t>
  </si>
  <si>
    <t>сімей</t>
  </si>
  <si>
    <t>(тис.)</t>
  </si>
  <si>
    <t>Норма</t>
  </si>
  <si>
    <t>на місяць</t>
  </si>
  <si>
    <t xml:space="preserve">Ціна </t>
  </si>
  <si>
    <t>в т.ч.</t>
  </si>
  <si>
    <t>централізованого гарячого</t>
  </si>
  <si>
    <t>водопостачання</t>
  </si>
  <si>
    <t>водонагрівача</t>
  </si>
  <si>
    <t>Для споживачів з індивідуальним</t>
  </si>
  <si>
    <t>опаленням у будинках не вище</t>
  </si>
  <si>
    <t>двох поверхів</t>
  </si>
  <si>
    <t>(куб.м на</t>
  </si>
  <si>
    <t>автомобільним, електричним</t>
  </si>
  <si>
    <t>транспортом та метрополітеном</t>
  </si>
  <si>
    <t>автомобільним та залізничним</t>
  </si>
  <si>
    <t>транспортом</t>
  </si>
  <si>
    <t>одну особу  на місяць</t>
  </si>
  <si>
    <t>місяць)</t>
  </si>
  <si>
    <t>опалення</t>
  </si>
  <si>
    <t>гаряча вода</t>
  </si>
  <si>
    <t xml:space="preserve">Водопостачання </t>
  </si>
  <si>
    <t>оплата житла</t>
  </si>
  <si>
    <t>теплопостачання</t>
  </si>
  <si>
    <t>електроенергія</t>
  </si>
  <si>
    <t>газопостачання</t>
  </si>
  <si>
    <t>витрат</t>
  </si>
  <si>
    <t xml:space="preserve"> та пральних машин</t>
  </si>
  <si>
    <t>Ремонт холодильників</t>
  </si>
  <si>
    <t>Вартість товарів загальносімейного користування</t>
  </si>
  <si>
    <t xml:space="preserve">Шапка, шарф із вовняної, напіввовняної </t>
  </si>
  <si>
    <t>комплект</t>
  </si>
  <si>
    <t xml:space="preserve">та синтетичної пряжі </t>
  </si>
  <si>
    <t>Чоловічі черевики осінні</t>
  </si>
  <si>
    <t xml:space="preserve">плитою газовою: </t>
  </si>
  <si>
    <t>гарячого водопостачання</t>
  </si>
  <si>
    <t xml:space="preserve">водопостачання та газового </t>
  </si>
  <si>
    <t>плитою газовою та</t>
  </si>
  <si>
    <t>водонагрівачем</t>
  </si>
  <si>
    <t>Субпродукти</t>
  </si>
  <si>
    <t>Ковбасні вироби</t>
  </si>
  <si>
    <t>Молокопродукти</t>
  </si>
  <si>
    <t>Птиця домашня</t>
  </si>
  <si>
    <t>Рибопродукти</t>
  </si>
  <si>
    <t>Молоко збиране, кефір</t>
  </si>
  <si>
    <t>Костюм чоловічий двійка</t>
  </si>
  <si>
    <t>працездатного на рік,</t>
  </si>
  <si>
    <t>Рейтузи</t>
  </si>
  <si>
    <t>Хустка напіввовняна</t>
  </si>
  <si>
    <t>Хустка бавовняна</t>
  </si>
  <si>
    <t>Рукавиці із вовняної, напіввовняної</t>
  </si>
  <si>
    <t>Краватка</t>
  </si>
  <si>
    <t>Електробритва</t>
  </si>
  <si>
    <t>Чайний сервіз (6 персон)</t>
  </si>
  <si>
    <t>Холодильник (однокамерний)</t>
  </si>
  <si>
    <t>Телевізор (51 см по діагоналі)</t>
  </si>
  <si>
    <t>Пральна машина (типу "Малютка")</t>
  </si>
  <si>
    <t>Настільна лампа</t>
  </si>
  <si>
    <t>Обсяг споживання</t>
  </si>
  <si>
    <t>покупки</t>
  </si>
  <si>
    <t xml:space="preserve">в середньому </t>
  </si>
  <si>
    <t>на 1 дитину на рік</t>
  </si>
  <si>
    <t>статі в % віком</t>
  </si>
  <si>
    <t>від 6 до18 років</t>
  </si>
  <si>
    <t>тканини</t>
  </si>
  <si>
    <t xml:space="preserve">Сукня для дівчаток </t>
  </si>
  <si>
    <t xml:space="preserve">Сорочки для хлопчиків із бавовняної </t>
  </si>
  <si>
    <t>Шкільна форма</t>
  </si>
  <si>
    <t>Купальник (плавки)</t>
  </si>
  <si>
    <t xml:space="preserve">Шкарпетки </t>
  </si>
  <si>
    <t xml:space="preserve">Колготки </t>
  </si>
  <si>
    <t xml:space="preserve">Шапка, шарф із вовняної, напівовняної </t>
  </si>
  <si>
    <t>та синтетичної пряжі</t>
  </si>
  <si>
    <t xml:space="preserve">Рукавиці із вовняної, напівовняної </t>
  </si>
  <si>
    <t>Чоботи утеплені</t>
  </si>
  <si>
    <t xml:space="preserve">Черевики, напівчеревики </t>
  </si>
  <si>
    <t>Гумове взуття</t>
  </si>
  <si>
    <t>від 0 до 6 років</t>
  </si>
  <si>
    <t xml:space="preserve">Шуба із штучного хутра або </t>
  </si>
  <si>
    <t>пальто зимове</t>
  </si>
  <si>
    <t xml:space="preserve">Сукня для дівчаток із </t>
  </si>
  <si>
    <t>напіввовняної тканини</t>
  </si>
  <si>
    <t xml:space="preserve">Брюки для хлопчиків із напіввовняної </t>
  </si>
  <si>
    <t>Гарнітур для новонароджених</t>
  </si>
  <si>
    <t>та синтетичної пряжі (комплект)</t>
  </si>
  <si>
    <t xml:space="preserve">Рукавички із вовняної, напівовняної </t>
  </si>
  <si>
    <t>Інші крупи</t>
  </si>
  <si>
    <t>Крохмаль</t>
  </si>
  <si>
    <t xml:space="preserve">Помідори </t>
  </si>
  <si>
    <t>Огірки</t>
  </si>
  <si>
    <t xml:space="preserve">Морква </t>
  </si>
  <si>
    <t>Цибуля</t>
  </si>
  <si>
    <t>Інші овочі і баштанні</t>
  </si>
  <si>
    <t>Яблука</t>
  </si>
  <si>
    <t>Ягоди та виноград</t>
  </si>
  <si>
    <t>Кісточкові</t>
  </si>
  <si>
    <t>Груші</t>
  </si>
  <si>
    <t>Інші фрукти та горіхи</t>
  </si>
  <si>
    <t>літри</t>
  </si>
  <si>
    <t>Яловичина, баранина, телятина</t>
  </si>
  <si>
    <t>Свинина пісна</t>
  </si>
  <si>
    <t>Ковбаса варена, сосиски, сардельки</t>
  </si>
  <si>
    <t>Балик м'ясний, шинка, карбонат</t>
  </si>
  <si>
    <t>Субпродукти(печінка, язик, мозок)</t>
  </si>
  <si>
    <t>Кисломолочні напої</t>
  </si>
  <si>
    <t>Риба свіжа, свіжоморожена</t>
  </si>
  <si>
    <t>Цукор</t>
  </si>
  <si>
    <t>Кондитерські вироби</t>
  </si>
  <si>
    <t>Мед</t>
  </si>
  <si>
    <t>Какао</t>
  </si>
  <si>
    <t>Дріжджі</t>
  </si>
  <si>
    <t>Спеції (лавровий лист)</t>
  </si>
  <si>
    <t>Морква</t>
  </si>
  <si>
    <t>Субпродукти (печінка, язик, мозок)</t>
  </si>
  <si>
    <t>коеф.сімейності</t>
  </si>
  <si>
    <t>цирків, музичних установ, покупка книг)</t>
  </si>
  <si>
    <t>Спідниця із вовняної та напіввовняної тканини</t>
  </si>
  <si>
    <t>Куртка чоловіча на синтапоні</t>
  </si>
  <si>
    <t>Ремонт одягу</t>
  </si>
  <si>
    <t>Товари загальносімейного користування</t>
  </si>
  <si>
    <t xml:space="preserve">Товари  загальносімейного користування </t>
  </si>
  <si>
    <t>Товари індивідуального використання</t>
  </si>
  <si>
    <t xml:space="preserve">Найменування непродовольчих </t>
  </si>
  <si>
    <t>Найменування продуктів</t>
  </si>
  <si>
    <t>харчування</t>
  </si>
  <si>
    <t xml:space="preserve">Найменування </t>
  </si>
  <si>
    <t>непродовольчих</t>
  </si>
  <si>
    <t xml:space="preserve">товарів </t>
  </si>
  <si>
    <t>Найменування продуктів харчування</t>
  </si>
  <si>
    <t>Найменування непродовольчих</t>
  </si>
  <si>
    <t>Ремонт житла (матеріали)</t>
  </si>
  <si>
    <t>Послуги пралень</t>
  </si>
  <si>
    <t>Молоко з малим вмістом жиру</t>
  </si>
  <si>
    <t>Обсяги споживання</t>
  </si>
  <si>
    <t xml:space="preserve"> в т.ч. чоловічої та жіночої</t>
  </si>
  <si>
    <t>Хлібопродукти</t>
  </si>
  <si>
    <t xml:space="preserve">Загальна кількість сімей </t>
  </si>
  <si>
    <t>по Україні</t>
  </si>
  <si>
    <t>Розрахунок вартості газопостачання в  середньому</t>
  </si>
  <si>
    <t>на одну особу на місяць</t>
  </si>
  <si>
    <t xml:space="preserve"> за наявності централізованого</t>
  </si>
  <si>
    <t>Сир м'який</t>
  </si>
  <si>
    <t xml:space="preserve">які втратили працездатність  </t>
  </si>
  <si>
    <t xml:space="preserve">віком від 6 до 18 років </t>
  </si>
  <si>
    <t xml:space="preserve">Хлібопродукти  </t>
  </si>
  <si>
    <t>Соки плодово-ягідні та овочеві</t>
  </si>
  <si>
    <t xml:space="preserve">Брюки чоловічі із джинсової </t>
  </si>
  <si>
    <t>або бавовняної тканини</t>
  </si>
  <si>
    <t>Купальник</t>
  </si>
  <si>
    <t>Плавки чоловічі</t>
  </si>
  <si>
    <t>Ковдра синтапонова</t>
  </si>
  <si>
    <t>Стіл письмовий (однотумбовий)</t>
  </si>
  <si>
    <t>Засоби гігієни</t>
  </si>
  <si>
    <t xml:space="preserve"> кг</t>
  </si>
  <si>
    <t>Дитячий крем (тюбик)</t>
  </si>
  <si>
    <t>пар</t>
  </si>
  <si>
    <t>Брюки чоловічі із джинсової або</t>
  </si>
  <si>
    <t>бавовняної тканини</t>
  </si>
  <si>
    <t>Товари  загальносімейного користування</t>
  </si>
  <si>
    <t>Чоловічий кашкет із вовняної тканини</t>
  </si>
  <si>
    <t>Туфлі  чоловічі</t>
  </si>
  <si>
    <t>Блузка</t>
  </si>
  <si>
    <t xml:space="preserve">Блузка </t>
  </si>
  <si>
    <t>Туфлі чоловічі</t>
  </si>
  <si>
    <t>Куртка на синтапоні</t>
  </si>
  <si>
    <t>Брюки для хлопчиків із джинсової тканини</t>
  </si>
  <si>
    <t>синтетичної тканини</t>
  </si>
  <si>
    <t>Вартість мінімального набору побутових послуг</t>
  </si>
  <si>
    <t>Поїздки міським</t>
  </si>
  <si>
    <t>Поїздки приміським</t>
  </si>
  <si>
    <t>Цукор, конд.вироби</t>
  </si>
  <si>
    <t xml:space="preserve">Яйця </t>
  </si>
  <si>
    <t>Яйця</t>
  </si>
  <si>
    <t>Столові прибори :</t>
  </si>
  <si>
    <t xml:space="preserve">коеф. сімейності </t>
  </si>
  <si>
    <t>зв"язку</t>
  </si>
  <si>
    <t>для дітей віком</t>
  </si>
  <si>
    <t>від 6 до 18 років</t>
  </si>
  <si>
    <t>для  праце-</t>
  </si>
  <si>
    <t>здатних</t>
  </si>
  <si>
    <t xml:space="preserve"> (на місяць)</t>
  </si>
  <si>
    <t>Інші (6%)</t>
  </si>
  <si>
    <t>Інші (0,7%)</t>
  </si>
  <si>
    <t>Інші (8%)</t>
  </si>
  <si>
    <t>Рукавички із вовняної, напіввовняної</t>
  </si>
  <si>
    <t xml:space="preserve">до загальної </t>
  </si>
  <si>
    <t xml:space="preserve">до відповідної </t>
  </si>
  <si>
    <t>чисельності</t>
  </si>
  <si>
    <t>соціально-</t>
  </si>
  <si>
    <t>населення</t>
  </si>
  <si>
    <t>демографічної групи</t>
  </si>
  <si>
    <t xml:space="preserve">Питома вага </t>
  </si>
  <si>
    <t>Питома вага</t>
  </si>
  <si>
    <t>з/п</t>
  </si>
  <si>
    <t>Усього на рік</t>
  </si>
  <si>
    <t>Усього на місяць</t>
  </si>
  <si>
    <t>Джемпер, светр</t>
  </si>
  <si>
    <t>Вартість усього набору на рік</t>
  </si>
  <si>
    <t>Вартість усього набору на місяць</t>
  </si>
  <si>
    <t>Усього в середньому на</t>
  </si>
  <si>
    <t>Простирадло</t>
  </si>
  <si>
    <t>Рушник простий</t>
  </si>
  <si>
    <t>Рушник махровий</t>
  </si>
  <si>
    <t>Тарілка</t>
  </si>
  <si>
    <t>Сковорода</t>
  </si>
  <si>
    <t>Ложка</t>
  </si>
  <si>
    <t>Виделка</t>
  </si>
  <si>
    <t>Ніж</t>
  </si>
  <si>
    <t xml:space="preserve">Годинник будь- якого виду </t>
  </si>
  <si>
    <t>Набір для кухні</t>
  </si>
  <si>
    <t>Ліжко або диван</t>
  </si>
  <si>
    <t>Мило туалетне (масою 100г)</t>
  </si>
  <si>
    <t>Мило господарське (масою 250г)</t>
  </si>
  <si>
    <t>(пакування 500 г)</t>
  </si>
  <si>
    <t>Шампунь (пакування 250г)</t>
  </si>
  <si>
    <t>Крем для взуття (пакування 50г)</t>
  </si>
  <si>
    <t>Зубна паста (пакування 75г)</t>
  </si>
  <si>
    <t>Вата (пакування 1 кг)</t>
  </si>
  <si>
    <t>Бинт (пакування 5смх10м)</t>
  </si>
  <si>
    <t>пляшечка</t>
  </si>
  <si>
    <t xml:space="preserve">Прожитковий мінімум в середньому на одну особу на місяць </t>
  </si>
  <si>
    <t>та для осіб, які відносяться до основних соціальних і демографічних груп населення</t>
  </si>
  <si>
    <t>грн.</t>
  </si>
  <si>
    <t>Прожитковий</t>
  </si>
  <si>
    <t>мінімум</t>
  </si>
  <si>
    <t>Вартість набору послуг</t>
  </si>
  <si>
    <t>Житлово-комунальні послуги</t>
  </si>
  <si>
    <t>Послуги зв'язку</t>
  </si>
  <si>
    <t>Послуги культури</t>
  </si>
  <si>
    <t>з\п</t>
  </si>
  <si>
    <t>Вартість набору продуктів харчування для дітей</t>
  </si>
  <si>
    <t>Буряки</t>
  </si>
  <si>
    <t>Цитрусові та інші тропічні плоди</t>
  </si>
  <si>
    <t>Ковбаса напівкопчена</t>
  </si>
  <si>
    <t>Вартість набору продуктів харчування  для дітей</t>
  </si>
  <si>
    <t>Вартість мінімального набору непродовольчих товарів для дітей</t>
  </si>
  <si>
    <t xml:space="preserve">для  працездатних осіб </t>
  </si>
  <si>
    <t>Вартість мінімального набору непродовольчих товарів  для осіб,</t>
  </si>
  <si>
    <t>Вартість набору продуктів харчування для осіб, які втратили</t>
  </si>
  <si>
    <t>працездатність</t>
  </si>
  <si>
    <t>Вартість транспортних  послуг</t>
  </si>
  <si>
    <t>у тому числі</t>
  </si>
  <si>
    <t>Усього дітей</t>
  </si>
  <si>
    <t>Усього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</si>
  <si>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</si>
  <si>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</si>
  <si>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</si>
  <si>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</si>
  <si>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</si>
  <si>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</si>
  <si>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</si>
  <si>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</si>
  <si>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</si>
  <si>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</si>
  <si>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</si>
  <si>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2</t>
  </si>
  <si>
    <t>3</t>
  </si>
  <si>
    <t>4</t>
  </si>
  <si>
    <t>4.1</t>
  </si>
  <si>
    <t>4.2</t>
  </si>
  <si>
    <t>4.3</t>
  </si>
  <si>
    <t>4.4</t>
  </si>
  <si>
    <t>4.5</t>
  </si>
  <si>
    <t>4.6</t>
  </si>
  <si>
    <t>4.7</t>
  </si>
  <si>
    <t>5</t>
  </si>
  <si>
    <t>5.1</t>
  </si>
  <si>
    <t>5.2</t>
  </si>
  <si>
    <t>5.3</t>
  </si>
  <si>
    <t>5.4</t>
  </si>
  <si>
    <t>5.5</t>
  </si>
  <si>
    <t>5.6</t>
  </si>
  <si>
    <t>6</t>
  </si>
  <si>
    <t>7</t>
  </si>
  <si>
    <t>7.1</t>
  </si>
  <si>
    <t>7.2</t>
  </si>
  <si>
    <t>7.3</t>
  </si>
  <si>
    <t>7.4</t>
  </si>
  <si>
    <t>8</t>
  </si>
  <si>
    <t>8.1</t>
  </si>
  <si>
    <t>8.2</t>
  </si>
  <si>
    <t>8.3</t>
  </si>
  <si>
    <t>8.4</t>
  </si>
  <si>
    <t>8.5</t>
  </si>
  <si>
    <t>8.6</t>
  </si>
  <si>
    <t>9</t>
  </si>
  <si>
    <t>10</t>
  </si>
  <si>
    <t>10.1</t>
  </si>
  <si>
    <t>10.2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</si>
  <si>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</si>
  <si>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</si>
  <si>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</si>
  <si>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</si>
  <si>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</si>
  <si>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</si>
  <si>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</si>
  <si>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</si>
  <si>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</si>
  <si>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3.1</t>
  </si>
  <si>
    <t>3.2</t>
  </si>
  <si>
    <t>3.3</t>
  </si>
  <si>
    <t>3.4</t>
  </si>
  <si>
    <t>3.5</t>
  </si>
  <si>
    <t>3.6</t>
  </si>
  <si>
    <t>8.7</t>
  </si>
  <si>
    <t>8.8</t>
  </si>
  <si>
    <t>9.1</t>
  </si>
  <si>
    <t>9.2</t>
  </si>
  <si>
    <t>9.3</t>
  </si>
  <si>
    <t>10.3</t>
  </si>
  <si>
    <t>10.4</t>
  </si>
  <si>
    <t>10.5</t>
  </si>
  <si>
    <t>10.6</t>
  </si>
  <si>
    <t>1.12</t>
  </si>
  <si>
    <t>2.1</t>
  </si>
  <si>
    <t>2.2</t>
  </si>
  <si>
    <t>2.3</t>
  </si>
  <si>
    <t>2.4</t>
  </si>
  <si>
    <t>2.5</t>
  </si>
  <si>
    <t>2.6</t>
  </si>
  <si>
    <t>3.7</t>
  </si>
  <si>
    <t>3.8</t>
  </si>
  <si>
    <t>5.1.1</t>
  </si>
  <si>
    <t>5.1.2</t>
  </si>
  <si>
    <t>5.1.3</t>
  </si>
  <si>
    <t>5.1.4</t>
  </si>
  <si>
    <t>5.1.5</t>
  </si>
  <si>
    <t>5.2.1</t>
  </si>
  <si>
    <t>5.2.2</t>
  </si>
  <si>
    <t>5.2.3</t>
  </si>
  <si>
    <t>5.2.4</t>
  </si>
  <si>
    <t>5.2.5</t>
  </si>
  <si>
    <t>5.2.6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</si>
  <si>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</si>
  <si>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</si>
  <si>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</si>
  <si>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</si>
  <si>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</si>
  <si>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</si>
  <si>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</si>
  <si>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</si>
  <si>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</si>
  <si>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Радіоприймач однопрограмний</t>
  </si>
  <si>
    <t>11.1</t>
  </si>
  <si>
    <t>13.1</t>
  </si>
  <si>
    <t>13.2</t>
  </si>
  <si>
    <t>13.3</t>
  </si>
  <si>
    <t>13.4</t>
  </si>
  <si>
    <t>3.9</t>
  </si>
  <si>
    <t>3.10</t>
  </si>
  <si>
    <t>3.11</t>
  </si>
  <si>
    <t>4.8</t>
  </si>
  <si>
    <t xml:space="preserve">(середній </t>
  </si>
  <si>
    <t>розмір сім"ї)</t>
  </si>
  <si>
    <t>Норми споживання</t>
  </si>
  <si>
    <t>Вартість споживання</t>
  </si>
  <si>
    <t>техніки</t>
  </si>
  <si>
    <t>одиниць побутової</t>
  </si>
  <si>
    <t>Фрукти різні</t>
  </si>
  <si>
    <t>Молоко, молокопродукти</t>
  </si>
  <si>
    <t>М'ясо, м'ясопродукти</t>
  </si>
  <si>
    <t>Птиця, кріль</t>
  </si>
  <si>
    <t>14.1</t>
  </si>
  <si>
    <t>14.2</t>
  </si>
  <si>
    <t>14.3</t>
  </si>
  <si>
    <t>14.4</t>
  </si>
  <si>
    <t>14.5</t>
  </si>
  <si>
    <t>15.1</t>
  </si>
  <si>
    <t>15.2</t>
  </si>
  <si>
    <t>15.3</t>
  </si>
  <si>
    <t>15.4</t>
  </si>
  <si>
    <t>15.5</t>
  </si>
  <si>
    <t>15.6</t>
  </si>
  <si>
    <t>15.7</t>
  </si>
  <si>
    <t>15.8</t>
  </si>
  <si>
    <t>16.1</t>
  </si>
  <si>
    <t>16.2</t>
  </si>
  <si>
    <t>20</t>
  </si>
  <si>
    <t>21</t>
  </si>
  <si>
    <t>Інші овочі та баштанні</t>
  </si>
  <si>
    <t>Риба, рибопродукти</t>
  </si>
  <si>
    <t>Овочі, баштанні</t>
  </si>
  <si>
    <t>Помідори, огірки</t>
  </si>
  <si>
    <t>Морква, буряк</t>
  </si>
  <si>
    <t>Фрукти, ягоди свіжі</t>
  </si>
  <si>
    <t>Кріль</t>
  </si>
  <si>
    <t>Підодіяльник</t>
  </si>
  <si>
    <t>Хусточки носові</t>
  </si>
  <si>
    <t>Мийні та чистильні засоби</t>
  </si>
  <si>
    <t xml:space="preserve">Синтетичні мийні засоби </t>
  </si>
  <si>
    <t>валеріана в упаковціі  10 шт.)</t>
  </si>
  <si>
    <t>(анальгін, аспірін  в упаковці 10 шт.</t>
  </si>
  <si>
    <t>Вітаміни (упаковка 10 шт.)</t>
  </si>
  <si>
    <t>Гірчичники (упаковка10 шт.)</t>
  </si>
  <si>
    <t>(шапочка, сорочечка, пелюшки)</t>
  </si>
  <si>
    <t>Футболка</t>
  </si>
  <si>
    <t>Чоботи (валянки) для дітей</t>
  </si>
  <si>
    <t>Пальто або шуба із штучного хутра</t>
  </si>
  <si>
    <t>Верхній демісезонний одяг</t>
  </si>
  <si>
    <t xml:space="preserve">Куртка з плащової (сумішної) або  </t>
  </si>
  <si>
    <t>Спідниця</t>
  </si>
  <si>
    <t xml:space="preserve">Кросове </t>
  </si>
  <si>
    <t>Шкільне письмове приладдя</t>
  </si>
  <si>
    <t>Сумка(рюкзак) учнівський</t>
  </si>
  <si>
    <t>Зошит (у перерахунку на 12 листків)</t>
  </si>
  <si>
    <t>Авторучка</t>
  </si>
  <si>
    <t>Підручник</t>
  </si>
  <si>
    <t xml:space="preserve">Пальто жіноче </t>
  </si>
  <si>
    <t>Чоловіча майка</t>
  </si>
  <si>
    <t>Інші (30%)</t>
  </si>
  <si>
    <t xml:space="preserve">Жіночі чоботи </t>
  </si>
  <si>
    <t>Жіночі туфлі (на низькому підборі)</t>
  </si>
  <si>
    <t>Туфлі жіночі</t>
  </si>
  <si>
    <t>Спортивне некросове</t>
  </si>
  <si>
    <t>Пальто жіноче</t>
  </si>
  <si>
    <t>Туфлі  жіночі</t>
  </si>
  <si>
    <t>Для споживачів з установленою</t>
  </si>
  <si>
    <t xml:space="preserve">за відсутності </t>
  </si>
  <si>
    <t>Вартість мінімального набору житлово-комунальних послуг, зв'язку, культури</t>
  </si>
  <si>
    <t>Зв'язок</t>
  </si>
  <si>
    <t>Тариф</t>
  </si>
  <si>
    <t>проїзду</t>
  </si>
  <si>
    <t>Птиця,кріль</t>
  </si>
  <si>
    <t>та змішаної тканини</t>
  </si>
  <si>
    <t xml:space="preserve">Сорочка чоловіча із змішаної тканини </t>
  </si>
  <si>
    <t xml:space="preserve">Чоботи чоловічі утеплені </t>
  </si>
  <si>
    <t xml:space="preserve">Сорочки чоловічі із змішаної тканини </t>
  </si>
  <si>
    <t xml:space="preserve">Чоботи  чоловічі утеплені </t>
  </si>
  <si>
    <t>Прожитковий мінімум в середньому на місяць на одну особу, грн. -</t>
  </si>
  <si>
    <t>разів/штук</t>
  </si>
  <si>
    <t>музеїв, парків, зоопарків, заповідників,</t>
  </si>
  <si>
    <t xml:space="preserve">кв.м (заг. площі) </t>
  </si>
  <si>
    <t>Гкал (на рік)</t>
  </si>
  <si>
    <t>ГКал/м2 (на рік)</t>
  </si>
  <si>
    <t>штук (на рік)</t>
  </si>
  <si>
    <t xml:space="preserve">на місяць </t>
  </si>
  <si>
    <t>на сім"ю)</t>
  </si>
  <si>
    <t>конверти (на місяць</t>
  </si>
  <si>
    <t>штук на серед-</t>
  </si>
  <si>
    <t>ньостатистичну сім"ю</t>
  </si>
  <si>
    <t xml:space="preserve"> на серед-</t>
  </si>
  <si>
    <t>за куб.м</t>
  </si>
  <si>
    <t>4.</t>
  </si>
  <si>
    <t xml:space="preserve"> </t>
  </si>
  <si>
    <t xml:space="preserve">Болезаспокійливі та жарознижуючі засоби </t>
  </si>
  <si>
    <t xml:space="preserve">Особи, які втратили </t>
  </si>
  <si>
    <t>Україна</t>
  </si>
  <si>
    <t xml:space="preserve">на 1 дитину </t>
  </si>
  <si>
    <t>в середньому на одного</t>
  </si>
  <si>
    <t>пенсіонера на рік</t>
  </si>
  <si>
    <t>працездатного на рік</t>
  </si>
  <si>
    <t>Вартість мінімального набору непродовольчих товарів</t>
  </si>
  <si>
    <t>за травень</t>
  </si>
  <si>
    <r>
      <t>Цукор,</t>
    </r>
    <r>
      <rPr>
        <b/>
        <sz val="8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конд.вироби</t>
    </r>
  </si>
  <si>
    <r>
      <t>Судиннорозширювальні (</t>
    </r>
    <r>
      <rPr>
        <sz val="8"/>
        <rFont val="Times New Roman"/>
        <family val="1"/>
        <charset val="204"/>
      </rPr>
      <t xml:space="preserve">валідол, </t>
    </r>
  </si>
  <si>
    <r>
      <t>Дезинфікаційні засоби (</t>
    </r>
    <r>
      <rPr>
        <sz val="8"/>
        <rFont val="Times New Roman"/>
        <family val="1"/>
        <charset val="204"/>
      </rPr>
      <t>йод, зеленка</t>
    </r>
    <r>
      <rPr>
        <sz val="10"/>
        <rFont val="Times New Roman"/>
        <family val="1"/>
        <charset val="204"/>
      </rPr>
      <t>)</t>
    </r>
  </si>
  <si>
    <r>
      <t xml:space="preserve">Вартість </t>
    </r>
    <r>
      <rPr>
        <sz val="8"/>
        <rFont val="Times New Roman"/>
        <family val="1"/>
        <charset val="204"/>
      </rPr>
      <t>загального обсягу споживання</t>
    </r>
  </si>
  <si>
    <r>
      <t>Хімчистка</t>
    </r>
    <r>
      <rPr>
        <sz val="8"/>
        <rFont val="Times New Roman"/>
        <family val="1"/>
        <charset val="204"/>
      </rPr>
      <t xml:space="preserve"> та фарбування одягу</t>
    </r>
  </si>
  <si>
    <r>
      <t xml:space="preserve">Культура </t>
    </r>
    <r>
      <rPr>
        <sz val="10"/>
        <rFont val="Times New Roman"/>
        <family val="1"/>
        <charset val="204"/>
      </rPr>
      <t>(відвідування</t>
    </r>
  </si>
  <si>
    <t xml:space="preserve">У відсотках </t>
  </si>
  <si>
    <t>Каструля</t>
  </si>
  <si>
    <t>сім'ю в</t>
  </si>
  <si>
    <t>Чисельність населення за статтю і віком в Україні</t>
  </si>
  <si>
    <t xml:space="preserve">Вартість набору продуктів харчування  для працездатного населення </t>
  </si>
  <si>
    <t>Взуття літнє, спортивне та домашнє</t>
  </si>
  <si>
    <t>Джемпер, светр чоловічий</t>
  </si>
  <si>
    <t>Джемпер, светр жіночий</t>
  </si>
  <si>
    <t>3.13</t>
  </si>
  <si>
    <t>3.12</t>
  </si>
  <si>
    <t>Джемпер, светр  чоловічий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</si>
  <si>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</si>
  <si>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Спортивний костюм чоловічий</t>
  </si>
  <si>
    <t>Домашнє взуття жіноче</t>
  </si>
  <si>
    <t>Домашнє взуття чоловіче</t>
  </si>
  <si>
    <t>3,12</t>
  </si>
  <si>
    <t>Спортивний костюм жіночий</t>
  </si>
  <si>
    <t xml:space="preserve">віком до 6 років </t>
  </si>
  <si>
    <t>(грн)</t>
  </si>
  <si>
    <r>
      <t xml:space="preserve">Розмір прожиткового мінімуму </t>
    </r>
    <r>
      <rPr>
        <sz val="11"/>
        <rFont val="Times New Roman"/>
        <family val="1"/>
        <charset val="204"/>
      </rPr>
      <t>(без урахування суми податку на доходи фізичних осіб)</t>
    </r>
  </si>
  <si>
    <t>Сума єдиного внеску на загальнообов'язкове державне соціальне страхування</t>
  </si>
  <si>
    <t>Розмір прожиткового мінімуму</t>
  </si>
  <si>
    <t>Сума податку на доходи фізичних осіб</t>
  </si>
  <si>
    <t>Всього  споживачів</t>
  </si>
  <si>
    <t>квт
(на рік на сім`ю)</t>
  </si>
  <si>
    <t>для квартир, що обладнані газовою плитою
     до 100 квт</t>
  </si>
  <si>
    <t xml:space="preserve">     понад 100 квт</t>
  </si>
  <si>
    <t>для квартир, що обладнані електроплитою
     до 100 квт</t>
  </si>
  <si>
    <t xml:space="preserve">на початок 2015 року </t>
  </si>
  <si>
    <r>
      <t>- з урахуванням суми податку на доходи фізичних осіб</t>
    </r>
    <r>
      <rPr>
        <b/>
        <sz val="9"/>
        <rFont val="Times New Roman"/>
        <family val="1"/>
        <charset val="204"/>
      </rPr>
      <t>)</t>
    </r>
  </si>
  <si>
    <t>2016 р.</t>
  </si>
  <si>
    <t>(у цінах травня 2016 р.)</t>
  </si>
</sst>
</file>

<file path=xl/styles.xml><?xml version="1.0" encoding="utf-8"?>
<styleSheet xmlns="http://schemas.openxmlformats.org/spreadsheetml/2006/main">
  <numFmts count="6">
    <numFmt numFmtId="173" formatCode="#,##0&quot;р.&quot;;[Red]\-#,##0&quot;р.&quot;"/>
    <numFmt numFmtId="180" formatCode="0.0000"/>
    <numFmt numFmtId="181" formatCode="0.000"/>
    <numFmt numFmtId="182" formatCode="0.0"/>
    <numFmt numFmtId="184" formatCode="0.000000"/>
    <numFmt numFmtId="185" formatCode="0.00000"/>
  </numFmts>
  <fonts count="33">
    <font>
      <sz val="10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i/>
      <sz val="11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b/>
      <sz val="11"/>
      <color indexed="9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386">
    <xf numFmtId="0" fontId="0" fillId="0" borderId="0" xfId="0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/>
    <xf numFmtId="0" fontId="4" fillId="0" borderId="0" xfId="0" applyFont="1"/>
    <xf numFmtId="0" fontId="7" fillId="0" borderId="0" xfId="0" applyFont="1"/>
    <xf numFmtId="0" fontId="0" fillId="0" borderId="0" xfId="0" applyBorder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3" fillId="0" borderId="0" xfId="0" applyFont="1"/>
    <xf numFmtId="0" fontId="8" fillId="0" borderId="0" xfId="0" applyFont="1" applyBorder="1" applyAlignment="1">
      <alignment horizontal="center"/>
    </xf>
    <xf numFmtId="0" fontId="8" fillId="0" borderId="0" xfId="0" applyFont="1"/>
    <xf numFmtId="0" fontId="6" fillId="0" borderId="0" xfId="0" applyFont="1"/>
    <xf numFmtId="2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Border="1"/>
    <xf numFmtId="0" fontId="0" fillId="0" borderId="10" xfId="0" applyBorder="1"/>
    <xf numFmtId="0" fontId="9" fillId="0" borderId="0" xfId="0" applyFont="1"/>
    <xf numFmtId="0" fontId="0" fillId="0" borderId="0" xfId="0" applyAlignment="1">
      <alignment horizontal="left"/>
    </xf>
    <xf numFmtId="49" fontId="0" fillId="0" borderId="0" xfId="0" applyNumberFormat="1"/>
    <xf numFmtId="49" fontId="3" fillId="0" borderId="0" xfId="0" applyNumberFormat="1" applyFont="1"/>
    <xf numFmtId="2" fontId="0" fillId="0" borderId="0" xfId="0" applyNumberFormat="1"/>
    <xf numFmtId="0" fontId="0" fillId="0" borderId="0" xfId="0" applyFill="1"/>
    <xf numFmtId="182" fontId="0" fillId="0" borderId="0" xfId="0" applyNumberFormat="1"/>
    <xf numFmtId="181" fontId="0" fillId="0" borderId="0" xfId="0" applyNumberFormat="1"/>
    <xf numFmtId="2" fontId="0" fillId="0" borderId="0" xfId="0" applyNumberFormat="1" applyFill="1"/>
    <xf numFmtId="0" fontId="10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6" xfId="0" applyFont="1" applyBorder="1"/>
    <xf numFmtId="0" fontId="11" fillId="0" borderId="3" xfId="0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0" fontId="11" fillId="0" borderId="11" xfId="0" applyFont="1" applyBorder="1"/>
    <xf numFmtId="0" fontId="17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49" fontId="11" fillId="0" borderId="5" xfId="0" applyNumberFormat="1" applyFont="1" applyBorder="1" applyAlignment="1">
      <alignment horizontal="left"/>
    </xf>
    <xf numFmtId="173" fontId="17" fillId="0" borderId="5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left"/>
    </xf>
    <xf numFmtId="0" fontId="11" fillId="0" borderId="7" xfId="0" applyFont="1" applyBorder="1"/>
    <xf numFmtId="0" fontId="17" fillId="0" borderId="7" xfId="0" applyFont="1" applyBorder="1" applyAlignment="1">
      <alignment horizontal="center"/>
    </xf>
    <xf numFmtId="0" fontId="11" fillId="0" borderId="5" xfId="0" applyFont="1" applyBorder="1"/>
    <xf numFmtId="0" fontId="17" fillId="0" borderId="1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49" fontId="18" fillId="0" borderId="5" xfId="0" applyNumberFormat="1" applyFont="1" applyBorder="1" applyAlignment="1">
      <alignment horizontal="left"/>
    </xf>
    <xf numFmtId="0" fontId="18" fillId="0" borderId="7" xfId="0" applyFont="1" applyBorder="1"/>
    <xf numFmtId="0" fontId="15" fillId="0" borderId="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49" fontId="11" fillId="0" borderId="7" xfId="0" applyNumberFormat="1" applyFont="1" applyBorder="1"/>
    <xf numFmtId="0" fontId="11" fillId="0" borderId="7" xfId="0" applyFont="1" applyBorder="1" applyAlignment="1">
      <alignment horizontal="left"/>
    </xf>
    <xf numFmtId="49" fontId="18" fillId="0" borderId="7" xfId="0" applyNumberFormat="1" applyFont="1" applyBorder="1"/>
    <xf numFmtId="1" fontId="11" fillId="0" borderId="5" xfId="0" applyNumberFormat="1" applyFont="1" applyBorder="1" applyAlignment="1">
      <alignment horizontal="center"/>
    </xf>
    <xf numFmtId="181" fontId="11" fillId="0" borderId="0" xfId="0" applyNumberFormat="1" applyFont="1" applyBorder="1" applyAlignment="1">
      <alignment horizontal="center"/>
    </xf>
    <xf numFmtId="0" fontId="18" fillId="0" borderId="0" xfId="0" applyFont="1"/>
    <xf numFmtId="49" fontId="10" fillId="0" borderId="1" xfId="0" applyNumberFormat="1" applyFont="1" applyBorder="1"/>
    <xf numFmtId="0" fontId="10" fillId="0" borderId="11" xfId="0" applyFont="1" applyBorder="1"/>
    <xf numFmtId="2" fontId="10" fillId="0" borderId="12" xfId="0" applyNumberFormat="1" applyFont="1" applyBorder="1" applyAlignment="1">
      <alignment horizontal="center"/>
    </xf>
    <xf numFmtId="49" fontId="10" fillId="0" borderId="2" xfId="0" applyNumberFormat="1" applyFont="1" applyBorder="1"/>
    <xf numFmtId="0" fontId="10" fillId="0" borderId="13" xfId="0" applyFont="1" applyBorder="1"/>
    <xf numFmtId="0" fontId="11" fillId="0" borderId="13" xfId="0" applyFont="1" applyBorder="1"/>
    <xf numFmtId="2" fontId="10" fillId="0" borderId="10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49" fontId="14" fillId="0" borderId="6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73" fontId="14" fillId="0" borderId="5" xfId="0" applyNumberFormat="1" applyFont="1" applyBorder="1" applyAlignment="1">
      <alignment horizontal="center"/>
    </xf>
    <xf numFmtId="0" fontId="19" fillId="0" borderId="0" xfId="0" applyFont="1"/>
    <xf numFmtId="0" fontId="10" fillId="0" borderId="0" xfId="0" applyFont="1" applyAlignment="1">
      <alignment horizontal="center"/>
    </xf>
    <xf numFmtId="0" fontId="11" fillId="0" borderId="13" xfId="0" applyFont="1" applyBorder="1" applyAlignment="1">
      <alignment horizontal="left"/>
    </xf>
    <xf numFmtId="0" fontId="18" fillId="0" borderId="13" xfId="0" applyFont="1" applyBorder="1"/>
    <xf numFmtId="0" fontId="17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7" fillId="0" borderId="3" xfId="0" applyFont="1" applyBorder="1" applyAlignment="1">
      <alignment horizontal="center"/>
    </xf>
    <xf numFmtId="0" fontId="18" fillId="0" borderId="5" xfId="0" applyFont="1" applyBorder="1"/>
    <xf numFmtId="0" fontId="12" fillId="0" borderId="5" xfId="0" applyFont="1" applyBorder="1" applyAlignment="1">
      <alignment horizontal="center"/>
    </xf>
    <xf numFmtId="49" fontId="11" fillId="0" borderId="5" xfId="0" applyNumberFormat="1" applyFont="1" applyBorder="1"/>
    <xf numFmtId="49" fontId="18" fillId="0" borderId="5" xfId="0" applyNumberFormat="1" applyFont="1" applyBorder="1"/>
    <xf numFmtId="49" fontId="18" fillId="0" borderId="3" xfId="0" applyNumberFormat="1" applyFont="1" applyBorder="1" applyAlignment="1">
      <alignment horizontal="left"/>
    </xf>
    <xf numFmtId="182" fontId="11" fillId="0" borderId="5" xfId="0" applyNumberFormat="1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49" fontId="11" fillId="0" borderId="3" xfId="0" applyNumberFormat="1" applyFont="1" applyBorder="1" applyAlignment="1">
      <alignment horizontal="left"/>
    </xf>
    <xf numFmtId="0" fontId="11" fillId="0" borderId="2" xfId="0" applyFont="1" applyBorder="1"/>
    <xf numFmtId="0" fontId="17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182" fontId="11" fillId="0" borderId="7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5" fillId="0" borderId="0" xfId="0" applyFont="1"/>
    <xf numFmtId="0" fontId="18" fillId="0" borderId="0" xfId="0" applyFont="1" applyBorder="1"/>
    <xf numFmtId="0" fontId="18" fillId="0" borderId="0" xfId="0" applyFont="1" applyAlignment="1">
      <alignment horizontal="left"/>
    </xf>
    <xf numFmtId="1" fontId="11" fillId="0" borderId="2" xfId="0" applyNumberFormat="1" applyFont="1" applyBorder="1" applyAlignment="1">
      <alignment horizontal="center"/>
    </xf>
    <xf numFmtId="49" fontId="18" fillId="0" borderId="2" xfId="0" applyNumberFormat="1" applyFont="1" applyBorder="1"/>
    <xf numFmtId="0" fontId="11" fillId="0" borderId="2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49" fontId="18" fillId="0" borderId="6" xfId="0" applyNumberFormat="1" applyFont="1" applyBorder="1" applyAlignment="1">
      <alignment horizontal="left"/>
    </xf>
    <xf numFmtId="49" fontId="11" fillId="0" borderId="0" xfId="0" applyNumberFormat="1" applyFont="1"/>
    <xf numFmtId="0" fontId="18" fillId="0" borderId="0" xfId="0" applyFont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49" fontId="14" fillId="0" borderId="7" xfId="0" applyNumberFormat="1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81" fontId="12" fillId="0" borderId="5" xfId="0" applyNumberFormat="1" applyFont="1" applyBorder="1" applyAlignment="1">
      <alignment horizontal="center"/>
    </xf>
    <xf numFmtId="2" fontId="18" fillId="0" borderId="5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81" fontId="11" fillId="0" borderId="5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2" fillId="0" borderId="5" xfId="0" applyFont="1" applyBorder="1"/>
    <xf numFmtId="2" fontId="15" fillId="0" borderId="5" xfId="0" applyNumberFormat="1" applyFont="1" applyBorder="1" applyAlignment="1">
      <alignment horizontal="center"/>
    </xf>
    <xf numFmtId="49" fontId="18" fillId="0" borderId="7" xfId="0" applyNumberFormat="1" applyFont="1" applyBorder="1" applyAlignment="1">
      <alignment horizontal="left"/>
    </xf>
    <xf numFmtId="49" fontId="15" fillId="0" borderId="7" xfId="0" applyNumberFormat="1" applyFont="1" applyBorder="1" applyAlignment="1">
      <alignment horizontal="left"/>
    </xf>
    <xf numFmtId="0" fontId="15" fillId="0" borderId="5" xfId="0" applyFont="1" applyBorder="1"/>
    <xf numFmtId="2" fontId="12" fillId="0" borderId="5" xfId="0" applyNumberFormat="1" applyFont="1" applyBorder="1" applyAlignment="1">
      <alignment horizontal="center"/>
    </xf>
    <xf numFmtId="0" fontId="22" fillId="0" borderId="5" xfId="0" applyFont="1" applyBorder="1"/>
    <xf numFmtId="0" fontId="18" fillId="0" borderId="0" xfId="0" applyFont="1" applyBorder="1" applyAlignment="1">
      <alignment horizontal="center"/>
    </xf>
    <xf numFmtId="181" fontId="18" fillId="0" borderId="5" xfId="0" applyNumberFormat="1" applyFont="1" applyBorder="1" applyAlignment="1">
      <alignment horizontal="center"/>
    </xf>
    <xf numFmtId="0" fontId="17" fillId="0" borderId="5" xfId="0" applyFont="1" applyBorder="1"/>
    <xf numFmtId="49" fontId="16" fillId="0" borderId="1" xfId="0" applyNumberFormat="1" applyFont="1" applyBorder="1"/>
    <xf numFmtId="0" fontId="16" fillId="0" borderId="11" xfId="0" applyFont="1" applyBorder="1"/>
    <xf numFmtId="0" fontId="23" fillId="0" borderId="11" xfId="0" applyFont="1" applyBorder="1" applyAlignment="1">
      <alignment horizontal="center"/>
    </xf>
    <xf numFmtId="2" fontId="23" fillId="0" borderId="11" xfId="0" applyNumberFormat="1" applyFont="1" applyBorder="1" applyAlignment="1">
      <alignment horizontal="center"/>
    </xf>
    <xf numFmtId="49" fontId="16" fillId="0" borderId="2" xfId="0" applyNumberFormat="1" applyFont="1" applyBorder="1"/>
    <xf numFmtId="0" fontId="23" fillId="0" borderId="13" xfId="0" applyFont="1" applyBorder="1"/>
    <xf numFmtId="0" fontId="23" fillId="0" borderId="13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182" fontId="11" fillId="0" borderId="4" xfId="0" applyNumberFormat="1" applyFont="1" applyBorder="1" applyAlignment="1">
      <alignment horizontal="center"/>
    </xf>
    <xf numFmtId="182" fontId="18" fillId="0" borderId="4" xfId="0" applyNumberFormat="1" applyFont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8" fillId="0" borderId="3" xfId="0" applyFont="1" applyBorder="1"/>
    <xf numFmtId="0" fontId="18" fillId="0" borderId="3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2" fontId="18" fillId="0" borderId="3" xfId="0" applyNumberFormat="1" applyFont="1" applyBorder="1" applyAlignment="1">
      <alignment horizontal="center"/>
    </xf>
    <xf numFmtId="49" fontId="11" fillId="0" borderId="13" xfId="0" applyNumberFormat="1" applyFont="1" applyBorder="1"/>
    <xf numFmtId="0" fontId="17" fillId="0" borderId="0" xfId="0" applyFont="1" applyBorder="1"/>
    <xf numFmtId="0" fontId="17" fillId="0" borderId="7" xfId="0" applyFont="1" applyBorder="1"/>
    <xf numFmtId="49" fontId="11" fillId="0" borderId="3" xfId="0" applyNumberFormat="1" applyFont="1" applyBorder="1"/>
    <xf numFmtId="0" fontId="17" fillId="0" borderId="3" xfId="0" applyFont="1" applyBorder="1"/>
    <xf numFmtId="2" fontId="14" fillId="0" borderId="4" xfId="0" applyNumberFormat="1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182" fontId="11" fillId="0" borderId="0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2" fontId="11" fillId="0" borderId="7" xfId="0" applyNumberFormat="1" applyFont="1" applyBorder="1" applyAlignment="1">
      <alignment horizontal="center"/>
    </xf>
    <xf numFmtId="49" fontId="18" fillId="0" borderId="1" xfId="0" applyNumberFormat="1" applyFont="1" applyBorder="1"/>
    <xf numFmtId="2" fontId="18" fillId="0" borderId="0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0" fontId="11" fillId="0" borderId="1" xfId="0" applyFont="1" applyBorder="1"/>
    <xf numFmtId="0" fontId="17" fillId="0" borderId="11" xfId="0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11" fillId="0" borderId="4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2" xfId="0" applyFont="1" applyBorder="1"/>
    <xf numFmtId="0" fontId="18" fillId="0" borderId="10" xfId="0" applyFont="1" applyBorder="1" applyAlignment="1">
      <alignment horizontal="center"/>
    </xf>
    <xf numFmtId="0" fontId="11" fillId="0" borderId="10" xfId="0" applyFont="1" applyBorder="1"/>
    <xf numFmtId="0" fontId="13" fillId="0" borderId="5" xfId="0" applyFont="1" applyBorder="1"/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182" fontId="13" fillId="0" borderId="5" xfId="0" applyNumberFormat="1" applyFont="1" applyBorder="1" applyAlignment="1">
      <alignment horizontal="center"/>
    </xf>
    <xf numFmtId="182" fontId="13" fillId="0" borderId="0" xfId="0" applyNumberFormat="1" applyFont="1" applyBorder="1" applyAlignment="1">
      <alignment horizontal="center"/>
    </xf>
    <xf numFmtId="182" fontId="13" fillId="0" borderId="4" xfId="0" applyNumberFormat="1" applyFont="1" applyBorder="1" applyAlignment="1">
      <alignment horizontal="center"/>
    </xf>
    <xf numFmtId="181" fontId="22" fillId="0" borderId="5" xfId="0" applyNumberFormat="1" applyFont="1" applyBorder="1" applyAlignment="1">
      <alignment horizontal="center"/>
    </xf>
    <xf numFmtId="182" fontId="15" fillId="0" borderId="0" xfId="0" applyNumberFormat="1" applyFont="1" applyBorder="1" applyAlignment="1">
      <alignment horizontal="center"/>
    </xf>
    <xf numFmtId="182" fontId="22" fillId="0" borderId="0" xfId="0" applyNumberFormat="1" applyFont="1" applyBorder="1" applyAlignment="1">
      <alignment horizontal="center"/>
    </xf>
    <xf numFmtId="181" fontId="22" fillId="0" borderId="4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" xfId="0" applyFont="1" applyBorder="1"/>
    <xf numFmtId="0" fontId="22" fillId="0" borderId="5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4" fillId="0" borderId="5" xfId="0" applyFont="1" applyBorder="1"/>
    <xf numFmtId="0" fontId="13" fillId="0" borderId="3" xfId="0" applyFont="1" applyBorder="1"/>
    <xf numFmtId="0" fontId="13" fillId="0" borderId="1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3" xfId="0" applyFont="1" applyBorder="1"/>
    <xf numFmtId="49" fontId="17" fillId="0" borderId="6" xfId="0" applyNumberFormat="1" applyFont="1" applyBorder="1" applyAlignment="1">
      <alignment horizontal="center"/>
    </xf>
    <xf numFmtId="0" fontId="17" fillId="0" borderId="11" xfId="0" applyFont="1" applyBorder="1"/>
    <xf numFmtId="49" fontId="17" fillId="0" borderId="5" xfId="0" applyNumberFormat="1" applyFont="1" applyBorder="1" applyAlignment="1">
      <alignment horizontal="center"/>
    </xf>
    <xf numFmtId="49" fontId="17" fillId="0" borderId="5" xfId="0" applyNumberFormat="1" applyFont="1" applyBorder="1" applyAlignment="1">
      <alignment horizontal="left"/>
    </xf>
    <xf numFmtId="49" fontId="17" fillId="0" borderId="7" xfId="0" applyNumberFormat="1" applyFont="1" applyBorder="1" applyAlignment="1">
      <alignment horizontal="left"/>
    </xf>
    <xf numFmtId="49" fontId="17" fillId="0" borderId="3" xfId="0" applyNumberFormat="1" applyFont="1" applyBorder="1" applyAlignment="1">
      <alignment horizontal="left"/>
    </xf>
    <xf numFmtId="0" fontId="17" fillId="0" borderId="13" xfId="0" applyFont="1" applyBorder="1"/>
    <xf numFmtId="49" fontId="11" fillId="0" borderId="6" xfId="0" applyNumberFormat="1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8" fillId="0" borderId="7" xfId="0" applyFont="1" applyBorder="1" applyAlignment="1">
      <alignment horizontal="left"/>
    </xf>
    <xf numFmtId="0" fontId="20" fillId="0" borderId="5" xfId="0" applyFont="1" applyBorder="1" applyAlignment="1">
      <alignment horizontal="center"/>
    </xf>
    <xf numFmtId="0" fontId="15" fillId="0" borderId="0" xfId="0" applyFont="1" applyBorder="1"/>
    <xf numFmtId="182" fontId="12" fillId="0" borderId="5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left"/>
    </xf>
    <xf numFmtId="0" fontId="18" fillId="0" borderId="11" xfId="0" applyFont="1" applyBorder="1"/>
    <xf numFmtId="181" fontId="11" fillId="0" borderId="11" xfId="0" applyNumberFormat="1" applyFont="1" applyBorder="1" applyAlignment="1">
      <alignment horizontal="center"/>
    </xf>
    <xf numFmtId="2" fontId="18" fillId="0" borderId="12" xfId="0" applyNumberFormat="1" applyFont="1" applyBorder="1" applyAlignment="1">
      <alignment horizontal="center"/>
    </xf>
    <xf numFmtId="49" fontId="10" fillId="0" borderId="7" xfId="0" applyNumberFormat="1" applyFont="1" applyBorder="1"/>
    <xf numFmtId="0" fontId="10" fillId="0" borderId="0" xfId="0" applyFont="1" applyBorder="1"/>
    <xf numFmtId="49" fontId="14" fillId="0" borderId="5" xfId="0" applyNumberFormat="1" applyFont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49" fontId="14" fillId="0" borderId="5" xfId="0" applyNumberFormat="1" applyFont="1" applyBorder="1" applyAlignment="1">
      <alignment horizontal="left"/>
    </xf>
    <xf numFmtId="0" fontId="14" fillId="0" borderId="0" xfId="0" applyFont="1" applyBorder="1"/>
    <xf numFmtId="0" fontId="14" fillId="0" borderId="7" xfId="0" applyFont="1" applyBorder="1"/>
    <xf numFmtId="182" fontId="17" fillId="0" borderId="7" xfId="0" applyNumberFormat="1" applyFont="1" applyBorder="1" applyAlignment="1">
      <alignment horizontal="center"/>
    </xf>
    <xf numFmtId="49" fontId="14" fillId="0" borderId="3" xfId="0" applyNumberFormat="1" applyFont="1" applyBorder="1" applyAlignment="1">
      <alignment horizontal="left"/>
    </xf>
    <xf numFmtId="0" fontId="14" fillId="0" borderId="13" xfId="0" applyFont="1" applyBorder="1"/>
    <xf numFmtId="182" fontId="17" fillId="0" borderId="2" xfId="0" applyNumberFormat="1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0" fontId="18" fillId="0" borderId="4" xfId="0" applyFont="1" applyBorder="1"/>
    <xf numFmtId="0" fontId="12" fillId="0" borderId="4" xfId="0" applyFont="1" applyBorder="1" applyAlignment="1">
      <alignment horizontal="center"/>
    </xf>
    <xf numFmtId="181" fontId="12" fillId="0" borderId="7" xfId="0" applyNumberFormat="1" applyFont="1" applyBorder="1" applyAlignment="1">
      <alignment horizontal="center"/>
    </xf>
    <xf numFmtId="0" fontId="11" fillId="0" borderId="4" xfId="0" applyFont="1" applyBorder="1"/>
    <xf numFmtId="181" fontId="11" fillId="0" borderId="7" xfId="0" applyNumberFormat="1" applyFont="1" applyBorder="1" applyAlignment="1">
      <alignment horizontal="center"/>
    </xf>
    <xf numFmtId="181" fontId="11" fillId="0" borderId="0" xfId="0" applyNumberFormat="1" applyFont="1" applyAlignment="1">
      <alignment horizontal="center"/>
    </xf>
    <xf numFmtId="2" fontId="11" fillId="0" borderId="7" xfId="0" applyNumberFormat="1" applyFont="1" applyBorder="1"/>
    <xf numFmtId="49" fontId="11" fillId="0" borderId="1" xfId="0" applyNumberFormat="1" applyFont="1" applyBorder="1"/>
    <xf numFmtId="0" fontId="15" fillId="0" borderId="11" xfId="0" applyFont="1" applyBorder="1" applyAlignment="1">
      <alignment horizontal="center"/>
    </xf>
    <xf numFmtId="0" fontId="15" fillId="0" borderId="13" xfId="0" applyFont="1" applyBorder="1"/>
    <xf numFmtId="0" fontId="14" fillId="0" borderId="7" xfId="0" applyFont="1" applyBorder="1" applyAlignment="1">
      <alignment horizontal="center"/>
    </xf>
    <xf numFmtId="182" fontId="11" fillId="0" borderId="3" xfId="0" applyNumberFormat="1" applyFont="1" applyBorder="1" applyAlignment="1">
      <alignment horizontal="center"/>
    </xf>
    <xf numFmtId="49" fontId="21" fillId="0" borderId="5" xfId="0" applyNumberFormat="1" applyFont="1" applyBorder="1" applyAlignment="1">
      <alignment horizontal="left"/>
    </xf>
    <xf numFmtId="2" fontId="21" fillId="0" borderId="5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14" fillId="0" borderId="5" xfId="0" applyFont="1" applyBorder="1"/>
    <xf numFmtId="181" fontId="14" fillId="0" borderId="7" xfId="0" applyNumberFormat="1" applyFont="1" applyBorder="1" applyAlignment="1">
      <alignment horizontal="center"/>
    </xf>
    <xf numFmtId="181" fontId="21" fillId="0" borderId="7" xfId="0" applyNumberFormat="1" applyFont="1" applyBorder="1" applyAlignment="1">
      <alignment horizontal="center"/>
    </xf>
    <xf numFmtId="49" fontId="15" fillId="0" borderId="1" xfId="0" applyNumberFormat="1" applyFont="1" applyBorder="1"/>
    <xf numFmtId="0" fontId="15" fillId="0" borderId="7" xfId="0" applyFont="1" applyBorder="1"/>
    <xf numFmtId="49" fontId="18" fillId="0" borderId="3" xfId="0" applyNumberFormat="1" applyFont="1" applyBorder="1"/>
    <xf numFmtId="0" fontId="15" fillId="0" borderId="2" xfId="0" applyFont="1" applyBorder="1"/>
    <xf numFmtId="0" fontId="15" fillId="0" borderId="13" xfId="0" applyFont="1" applyBorder="1" applyAlignment="1">
      <alignment horizontal="center"/>
    </xf>
    <xf numFmtId="181" fontId="18" fillId="0" borderId="7" xfId="0" applyNumberFormat="1" applyFont="1" applyBorder="1" applyAlignment="1">
      <alignment horizontal="center"/>
    </xf>
    <xf numFmtId="2" fontId="21" fillId="0" borderId="7" xfId="0" applyNumberFormat="1" applyFont="1" applyBorder="1" applyAlignment="1">
      <alignment horizontal="center"/>
    </xf>
    <xf numFmtId="181" fontId="14" fillId="0" borderId="2" xfId="0" applyNumberFormat="1" applyFont="1" applyBorder="1" applyAlignment="1">
      <alignment horizontal="center"/>
    </xf>
    <xf numFmtId="49" fontId="10" fillId="0" borderId="3" xfId="0" applyNumberFormat="1" applyFont="1" applyBorder="1"/>
    <xf numFmtId="2" fontId="14" fillId="0" borderId="13" xfId="0" applyNumberFormat="1" applyFont="1" applyBorder="1" applyAlignment="1">
      <alignment horizontal="center"/>
    </xf>
    <xf numFmtId="49" fontId="11" fillId="0" borderId="6" xfId="0" applyNumberFormat="1" applyFont="1" applyBorder="1"/>
    <xf numFmtId="49" fontId="11" fillId="0" borderId="2" xfId="0" applyNumberFormat="1" applyFont="1" applyBorder="1"/>
    <xf numFmtId="0" fontId="18" fillId="0" borderId="5" xfId="0" applyFont="1" applyBorder="1" applyAlignment="1">
      <alignment horizontal="center"/>
    </xf>
    <xf numFmtId="2" fontId="25" fillId="0" borderId="7" xfId="0" applyNumberFormat="1" applyFont="1" applyBorder="1" applyAlignment="1">
      <alignment horizontal="center"/>
    </xf>
    <xf numFmtId="2" fontId="26" fillId="0" borderId="5" xfId="0" applyNumberFormat="1" applyFont="1" applyBorder="1" applyAlignment="1">
      <alignment horizontal="center"/>
    </xf>
    <xf numFmtId="182" fontId="25" fillId="0" borderId="5" xfId="0" applyNumberFormat="1" applyFont="1" applyBorder="1" applyAlignment="1">
      <alignment horizontal="center"/>
    </xf>
    <xf numFmtId="2" fontId="27" fillId="0" borderId="5" xfId="0" applyNumberFormat="1" applyFont="1" applyBorder="1" applyAlignment="1">
      <alignment horizontal="center"/>
    </xf>
    <xf numFmtId="49" fontId="12" fillId="0" borderId="5" xfId="0" applyNumberFormat="1" applyFont="1" applyBorder="1"/>
    <xf numFmtId="182" fontId="11" fillId="0" borderId="0" xfId="0" applyNumberFormat="1" applyFont="1" applyAlignment="1">
      <alignment horizontal="center"/>
    </xf>
    <xf numFmtId="0" fontId="12" fillId="0" borderId="0" xfId="0" applyFont="1" applyBorder="1"/>
    <xf numFmtId="2" fontId="11" fillId="0" borderId="2" xfId="0" applyNumberFormat="1" applyFont="1" applyBorder="1" applyAlignment="1">
      <alignment horizontal="center"/>
    </xf>
    <xf numFmtId="173" fontId="11" fillId="0" borderId="5" xfId="0" applyNumberFormat="1" applyFont="1" applyBorder="1" applyAlignment="1">
      <alignment horizontal="center"/>
    </xf>
    <xf numFmtId="0" fontId="28" fillId="0" borderId="0" xfId="0" applyFont="1"/>
    <xf numFmtId="2" fontId="14" fillId="0" borderId="3" xfId="0" applyNumberFormat="1" applyFont="1" applyBorder="1" applyAlignment="1">
      <alignment horizontal="center"/>
    </xf>
    <xf numFmtId="0" fontId="14" fillId="0" borderId="5" xfId="0" applyFont="1" applyBorder="1" applyAlignment="1">
      <alignment horizontal="left"/>
    </xf>
    <xf numFmtId="173" fontId="14" fillId="0" borderId="2" xfId="0" applyNumberFormat="1" applyFont="1" applyBorder="1" applyAlignment="1">
      <alignment horizontal="center"/>
    </xf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3" fontId="13" fillId="0" borderId="0" xfId="0" applyNumberFormat="1" applyFont="1" applyAlignment="1">
      <alignment horizontal="center"/>
    </xf>
    <xf numFmtId="3" fontId="13" fillId="0" borderId="5" xfId="0" applyNumberFormat="1" applyFont="1" applyBorder="1" applyAlignment="1">
      <alignment horizontal="center"/>
    </xf>
    <xf numFmtId="3" fontId="22" fillId="0" borderId="0" xfId="0" applyNumberFormat="1" applyFont="1" applyAlignment="1">
      <alignment horizontal="center"/>
    </xf>
    <xf numFmtId="3" fontId="15" fillId="0" borderId="5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3" fontId="22" fillId="0" borderId="5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24" fillId="0" borderId="0" xfId="0" applyNumberFormat="1" applyFont="1" applyAlignment="1">
      <alignment horizontal="center"/>
    </xf>
    <xf numFmtId="2" fontId="11" fillId="0" borderId="11" xfId="0" applyNumberFormat="1" applyFont="1" applyBorder="1"/>
    <xf numFmtId="0" fontId="12" fillId="0" borderId="0" xfId="0" applyFont="1"/>
    <xf numFmtId="1" fontId="0" fillId="0" borderId="0" xfId="0" applyNumberFormat="1"/>
    <xf numFmtId="2" fontId="17" fillId="0" borderId="3" xfId="0" applyNumberFormat="1" applyFont="1" applyBorder="1" applyAlignment="1">
      <alignment horizontal="center"/>
    </xf>
    <xf numFmtId="0" fontId="18" fillId="0" borderId="5" xfId="0" applyFont="1" applyBorder="1" applyAlignment="1">
      <alignment horizontal="center" vertical="top" wrapText="1"/>
    </xf>
    <xf numFmtId="49" fontId="12" fillId="0" borderId="5" xfId="0" applyNumberFormat="1" applyFont="1" applyBorder="1" applyAlignment="1">
      <alignment horizontal="left"/>
    </xf>
    <xf numFmtId="0" fontId="12" fillId="0" borderId="7" xfId="0" applyFont="1" applyBorder="1"/>
    <xf numFmtId="2" fontId="12" fillId="0" borderId="0" xfId="0" applyNumberFormat="1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182" fontId="28" fillId="0" borderId="0" xfId="0" applyNumberFormat="1" applyFont="1"/>
    <xf numFmtId="49" fontId="12" fillId="0" borderId="7" xfId="0" applyNumberFormat="1" applyFont="1" applyBorder="1"/>
    <xf numFmtId="0" fontId="12" fillId="0" borderId="0" xfId="0" applyFont="1" applyAlignment="1">
      <alignment horizontal="left"/>
    </xf>
    <xf numFmtId="2" fontId="0" fillId="0" borderId="0" xfId="0" applyNumberFormat="1" applyBorder="1"/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73" fontId="11" fillId="0" borderId="0" xfId="0" applyNumberFormat="1" applyFont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81" fontId="11" fillId="0" borderId="2" xfId="0" applyNumberFormat="1" applyFont="1" applyBorder="1" applyAlignment="1">
      <alignment horizontal="center"/>
    </xf>
    <xf numFmtId="2" fontId="18" fillId="0" borderId="5" xfId="0" applyNumberFormat="1" applyFont="1" applyBorder="1"/>
    <xf numFmtId="2" fontId="18" fillId="0" borderId="3" xfId="0" applyNumberFormat="1" applyFont="1" applyBorder="1"/>
    <xf numFmtId="2" fontId="18" fillId="0" borderId="6" xfId="0" applyNumberFormat="1" applyFont="1" applyBorder="1"/>
    <xf numFmtId="181" fontId="14" fillId="0" borderId="0" xfId="0" applyNumberFormat="1" applyFont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" fontId="11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1" fillId="0" borderId="5" xfId="0" applyFont="1" applyFill="1" applyBorder="1" applyAlignment="1">
      <alignment horizontal="center"/>
    </xf>
    <xf numFmtId="2" fontId="13" fillId="0" borderId="5" xfId="0" applyNumberFormat="1" applyFont="1" applyBorder="1" applyAlignment="1">
      <alignment horizontal="center"/>
    </xf>
    <xf numFmtId="182" fontId="18" fillId="0" borderId="0" xfId="0" applyNumberFormat="1" applyFont="1" applyFill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7" fillId="0" borderId="5" xfId="0" applyNumberFormat="1" applyFont="1" applyFill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180" fontId="11" fillId="0" borderId="0" xfId="0" applyNumberFormat="1" applyFont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8" fillId="0" borderId="5" xfId="0" applyFont="1" applyBorder="1" applyAlignment="1">
      <alignment vertical="top" wrapText="1"/>
    </xf>
    <xf numFmtId="0" fontId="15" fillId="0" borderId="5" xfId="0" applyFont="1" applyBorder="1" applyAlignment="1">
      <alignment horizontal="left" vertical="top" wrapText="1"/>
    </xf>
    <xf numFmtId="181" fontId="11" fillId="0" borderId="5" xfId="0" applyNumberFormat="1" applyFont="1" applyFill="1" applyBorder="1" applyAlignment="1">
      <alignment horizontal="center"/>
    </xf>
    <xf numFmtId="182" fontId="11" fillId="0" borderId="4" xfId="0" applyNumberFormat="1" applyFont="1" applyFill="1" applyBorder="1" applyAlignment="1">
      <alignment horizontal="center"/>
    </xf>
    <xf numFmtId="1" fontId="0" fillId="0" borderId="0" xfId="0" applyNumberFormat="1" applyFill="1"/>
    <xf numFmtId="0" fontId="11" fillId="0" borderId="0" xfId="0" applyFont="1" applyAlignment="1">
      <alignment wrapText="1"/>
    </xf>
    <xf numFmtId="0" fontId="17" fillId="0" borderId="5" xfId="0" applyFont="1" applyBorder="1" applyAlignment="1">
      <alignment horizontal="center" vertical="top" wrapText="1"/>
    </xf>
    <xf numFmtId="1" fontId="11" fillId="0" borderId="5" xfId="0" applyNumberFormat="1" applyFont="1" applyBorder="1" applyAlignment="1">
      <alignment horizontal="center" vertical="top"/>
    </xf>
    <xf numFmtId="180" fontId="22" fillId="0" borderId="5" xfId="0" applyNumberFormat="1" applyFont="1" applyBorder="1" applyAlignment="1">
      <alignment horizontal="center"/>
    </xf>
    <xf numFmtId="185" fontId="22" fillId="0" borderId="5" xfId="0" applyNumberFormat="1" applyFont="1" applyBorder="1" applyAlignment="1">
      <alignment horizontal="center"/>
    </xf>
    <xf numFmtId="2" fontId="11" fillId="0" borderId="7" xfId="0" applyNumberFormat="1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49" fontId="14" fillId="0" borderId="8" xfId="0" applyNumberFormat="1" applyFont="1" applyBorder="1" applyAlignment="1">
      <alignment horizontal="left" wrapText="1"/>
    </xf>
    <xf numFmtId="0" fontId="15" fillId="0" borderId="5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182" fontId="18" fillId="0" borderId="5" xfId="0" applyNumberFormat="1" applyFont="1" applyBorder="1" applyAlignment="1">
      <alignment horizontal="center"/>
    </xf>
    <xf numFmtId="2" fontId="18" fillId="0" borderId="4" xfId="0" applyNumberFormat="1" applyFont="1" applyFill="1" applyBorder="1" applyAlignment="1">
      <alignment horizontal="center"/>
    </xf>
    <xf numFmtId="182" fontId="18" fillId="0" borderId="5" xfId="0" applyNumberFormat="1" applyFont="1" applyFill="1" applyBorder="1" applyAlignment="1">
      <alignment horizontal="center"/>
    </xf>
    <xf numFmtId="182" fontId="18" fillId="0" borderId="4" xfId="0" applyNumberFormat="1" applyFont="1" applyFill="1" applyBorder="1" applyAlignment="1">
      <alignment horizontal="center"/>
    </xf>
    <xf numFmtId="2" fontId="18" fillId="0" borderId="5" xfId="0" applyNumberFormat="1" applyFont="1" applyFill="1" applyBorder="1" applyAlignment="1">
      <alignment horizontal="center"/>
    </xf>
    <xf numFmtId="2" fontId="18" fillId="0" borderId="0" xfId="0" applyNumberFormat="1" applyFont="1" applyFill="1" applyAlignment="1">
      <alignment horizontal="center"/>
    </xf>
    <xf numFmtId="184" fontId="11" fillId="0" borderId="4" xfId="0" applyNumberFormat="1" applyFont="1" applyFill="1" applyBorder="1" applyAlignment="1">
      <alignment horizontal="center"/>
    </xf>
    <xf numFmtId="184" fontId="11" fillId="0" borderId="5" xfId="0" applyNumberFormat="1" applyFont="1" applyFill="1" applyBorder="1" applyAlignment="1">
      <alignment horizontal="center"/>
    </xf>
    <xf numFmtId="182" fontId="11" fillId="0" borderId="5" xfId="0" applyNumberFormat="1" applyFont="1" applyFill="1" applyBorder="1" applyAlignment="1">
      <alignment horizontal="center"/>
    </xf>
    <xf numFmtId="184" fontId="11" fillId="0" borderId="0" xfId="0" applyNumberFormat="1" applyFont="1" applyFill="1" applyBorder="1" applyAlignment="1">
      <alignment horizontal="center"/>
    </xf>
    <xf numFmtId="184" fontId="11" fillId="0" borderId="0" xfId="0" applyNumberFormat="1" applyFont="1" applyFill="1" applyAlignment="1">
      <alignment horizontal="center"/>
    </xf>
    <xf numFmtId="2" fontId="11" fillId="0" borderId="4" xfId="0" applyNumberFormat="1" applyFont="1" applyFill="1" applyBorder="1" applyAlignment="1">
      <alignment horizontal="center"/>
    </xf>
    <xf numFmtId="184" fontId="11" fillId="0" borderId="5" xfId="0" applyNumberFormat="1" applyFont="1" applyBorder="1" applyAlignment="1">
      <alignment horizontal="center"/>
    </xf>
    <xf numFmtId="184" fontId="15" fillId="0" borderId="4" xfId="0" applyNumberFormat="1" applyFont="1" applyBorder="1" applyAlignment="1">
      <alignment horizontal="center"/>
    </xf>
    <xf numFmtId="184" fontId="11" fillId="0" borderId="4" xfId="0" applyNumberFormat="1" applyFont="1" applyBorder="1" applyAlignment="1">
      <alignment horizontal="center"/>
    </xf>
    <xf numFmtId="184" fontId="11" fillId="0" borderId="0" xfId="0" applyNumberFormat="1" applyFont="1" applyAlignment="1">
      <alignment horizontal="center"/>
    </xf>
    <xf numFmtId="184" fontId="18" fillId="0" borderId="4" xfId="0" applyNumberFormat="1" applyFont="1" applyBorder="1" applyAlignment="1">
      <alignment horizontal="center"/>
    </xf>
    <xf numFmtId="184" fontId="18" fillId="0" borderId="5" xfId="0" applyNumberFormat="1" applyFont="1" applyBorder="1" applyAlignment="1">
      <alignment horizontal="center"/>
    </xf>
    <xf numFmtId="2" fontId="18" fillId="0" borderId="0" xfId="0" applyNumberFormat="1" applyFont="1" applyAlignment="1">
      <alignment horizontal="center"/>
    </xf>
    <xf numFmtId="184" fontId="18" fillId="0" borderId="0" xfId="0" applyNumberFormat="1" applyFont="1" applyAlignment="1">
      <alignment horizontal="center"/>
    </xf>
    <xf numFmtId="184" fontId="31" fillId="0" borderId="4" xfId="0" applyNumberFormat="1" applyFont="1" applyBorder="1" applyAlignment="1">
      <alignment horizontal="center"/>
    </xf>
    <xf numFmtId="184" fontId="32" fillId="0" borderId="5" xfId="0" applyNumberFormat="1" applyFont="1" applyBorder="1" applyAlignment="1">
      <alignment horizontal="center"/>
    </xf>
    <xf numFmtId="0" fontId="10" fillId="0" borderId="8" xfId="0" applyFont="1" applyBorder="1"/>
    <xf numFmtId="184" fontId="23" fillId="0" borderId="8" xfId="0" applyNumberFormat="1" applyFont="1" applyBorder="1" applyAlignment="1">
      <alignment horizontal="center"/>
    </xf>
    <xf numFmtId="2" fontId="18" fillId="0" borderId="8" xfId="0" applyNumberFormat="1" applyFont="1" applyBorder="1" applyAlignment="1">
      <alignment horizontal="center"/>
    </xf>
    <xf numFmtId="2" fontId="15" fillId="0" borderId="8" xfId="0" applyNumberFormat="1" applyFont="1" applyBorder="1" applyAlignment="1">
      <alignment horizontal="center"/>
    </xf>
    <xf numFmtId="0" fontId="14" fillId="0" borderId="8" xfId="0" applyFont="1" applyBorder="1" applyAlignment="1">
      <alignment wrapText="1"/>
    </xf>
    <xf numFmtId="0" fontId="14" fillId="0" borderId="14" xfId="0" applyFont="1" applyBorder="1" applyAlignment="1">
      <alignment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="80" workbookViewId="0">
      <selection activeCell="F38" sqref="F38:G38"/>
    </sheetView>
  </sheetViews>
  <sheetFormatPr defaultRowHeight="12.75"/>
  <cols>
    <col min="1" max="1" width="3.85546875" style="35" customWidth="1"/>
    <col min="2" max="2" width="33.42578125" style="35" customWidth="1"/>
    <col min="3" max="3" width="16.28515625" style="35" customWidth="1"/>
    <col min="4" max="4" width="8.7109375" style="35" customWidth="1"/>
    <col min="5" max="5" width="16.7109375" style="36" customWidth="1"/>
    <col min="6" max="6" width="16.28515625" style="35" customWidth="1"/>
    <col min="7" max="7" width="15.140625" style="35" customWidth="1"/>
    <col min="8" max="8" width="11.140625" style="35" customWidth="1"/>
    <col min="9" max="9" width="16" style="36" customWidth="1"/>
    <col min="10" max="10" width="15.85546875" style="35" customWidth="1"/>
    <col min="11" max="16384" width="9.140625" style="35"/>
  </cols>
  <sheetData>
    <row r="1" spans="1:10" ht="18" customHeight="1">
      <c r="A1" s="68" t="s">
        <v>650</v>
      </c>
      <c r="B1" s="355" t="s">
        <v>400</v>
      </c>
      <c r="C1" s="355"/>
      <c r="D1" s="355"/>
      <c r="E1" s="355"/>
      <c r="F1" s="355"/>
      <c r="G1" s="355"/>
      <c r="H1" s="355"/>
      <c r="I1" s="355"/>
      <c r="J1" s="355"/>
    </row>
    <row r="2" spans="1:10" ht="15.75">
      <c r="A2" s="68"/>
      <c r="B2" s="342" t="s">
        <v>401</v>
      </c>
      <c r="C2" s="342"/>
      <c r="D2" s="342"/>
      <c r="E2" s="342"/>
      <c r="F2" s="342"/>
      <c r="G2" s="342"/>
      <c r="H2" s="342"/>
      <c r="I2" s="342"/>
      <c r="J2" s="342"/>
    </row>
    <row r="3" spans="1:10">
      <c r="B3" s="356" t="s">
        <v>670</v>
      </c>
      <c r="C3" s="356"/>
      <c r="D3" s="356"/>
      <c r="E3" s="356"/>
      <c r="F3" s="356"/>
      <c r="G3" s="356"/>
      <c r="H3" s="356"/>
      <c r="I3" s="356"/>
      <c r="J3" s="356"/>
    </row>
    <row r="4" spans="1:10">
      <c r="A4" s="42" t="s">
        <v>8</v>
      </c>
      <c r="B4" s="175"/>
      <c r="C4" s="43" t="s">
        <v>403</v>
      </c>
      <c r="D4" s="43" t="s">
        <v>108</v>
      </c>
      <c r="E4" s="43" t="s">
        <v>403</v>
      </c>
      <c r="F4" s="42" t="s">
        <v>108</v>
      </c>
      <c r="G4" s="43" t="s">
        <v>403</v>
      </c>
      <c r="H4" s="43" t="s">
        <v>108</v>
      </c>
      <c r="I4" s="43" t="s">
        <v>403</v>
      </c>
      <c r="J4" s="43" t="s">
        <v>108</v>
      </c>
    </row>
    <row r="5" spans="1:10">
      <c r="A5" s="47" t="s">
        <v>409</v>
      </c>
      <c r="B5" s="54"/>
      <c r="C5" s="36" t="s">
        <v>404</v>
      </c>
      <c r="D5" s="48" t="s">
        <v>109</v>
      </c>
      <c r="E5" s="36" t="s">
        <v>404</v>
      </c>
      <c r="F5" s="47" t="s">
        <v>109</v>
      </c>
      <c r="G5" s="48" t="s">
        <v>404</v>
      </c>
      <c r="H5" s="48" t="s">
        <v>109</v>
      </c>
      <c r="I5" s="48" t="s">
        <v>404</v>
      </c>
      <c r="J5" s="48" t="s">
        <v>109</v>
      </c>
    </row>
    <row r="6" spans="1:10">
      <c r="A6" s="47"/>
      <c r="B6" s="54" t="s">
        <v>623</v>
      </c>
      <c r="C6" s="36" t="s">
        <v>356</v>
      </c>
      <c r="D6" s="48" t="s">
        <v>206</v>
      </c>
      <c r="E6" s="36" t="s">
        <v>356</v>
      </c>
      <c r="F6" s="47" t="s">
        <v>206</v>
      </c>
      <c r="G6" s="48" t="s">
        <v>358</v>
      </c>
      <c r="H6" s="48" t="s">
        <v>206</v>
      </c>
      <c r="I6" s="36" t="s">
        <v>114</v>
      </c>
      <c r="J6" s="48" t="s">
        <v>206</v>
      </c>
    </row>
    <row r="7" spans="1:10">
      <c r="A7" s="47"/>
      <c r="B7" s="54"/>
      <c r="C7" s="36" t="s">
        <v>257</v>
      </c>
      <c r="D7" s="48"/>
      <c r="E7" s="36" t="s">
        <v>357</v>
      </c>
      <c r="F7" s="47"/>
      <c r="G7" s="48" t="s">
        <v>359</v>
      </c>
      <c r="I7" s="48" t="s">
        <v>115</v>
      </c>
      <c r="J7" s="48"/>
    </row>
    <row r="8" spans="1:10">
      <c r="A8" s="47"/>
      <c r="B8" s="54"/>
      <c r="C8" s="78"/>
      <c r="D8" s="48" t="s">
        <v>96</v>
      </c>
      <c r="E8" s="48"/>
      <c r="F8" s="48" t="s">
        <v>96</v>
      </c>
      <c r="G8" s="48"/>
      <c r="H8" s="48" t="s">
        <v>96</v>
      </c>
      <c r="I8" s="48" t="s">
        <v>116</v>
      </c>
      <c r="J8" s="48" t="s">
        <v>96</v>
      </c>
    </row>
    <row r="9" spans="1:10">
      <c r="A9" s="47"/>
      <c r="B9" s="54"/>
      <c r="C9" s="78" t="s">
        <v>360</v>
      </c>
      <c r="D9" s="48"/>
      <c r="E9" s="78" t="s">
        <v>360</v>
      </c>
      <c r="F9" s="48"/>
      <c r="G9" s="45" t="s">
        <v>360</v>
      </c>
      <c r="H9" s="48"/>
      <c r="I9" s="78" t="s">
        <v>360</v>
      </c>
      <c r="J9" s="48"/>
    </row>
    <row r="10" spans="1:10" s="32" customFormat="1">
      <c r="A10" s="114"/>
      <c r="B10" s="103"/>
      <c r="C10" s="114" t="s">
        <v>402</v>
      </c>
      <c r="D10" s="114"/>
      <c r="E10" s="114" t="s">
        <v>402</v>
      </c>
      <c r="F10" s="114"/>
      <c r="G10" s="114" t="s">
        <v>402</v>
      </c>
      <c r="H10" s="114"/>
      <c r="I10" s="114" t="s">
        <v>402</v>
      </c>
      <c r="J10" s="105"/>
    </row>
    <row r="11" spans="1:10">
      <c r="A11" s="47"/>
      <c r="B11" s="54"/>
      <c r="C11" s="78"/>
      <c r="D11" s="48"/>
      <c r="E11" s="48"/>
      <c r="F11" s="48"/>
      <c r="G11" s="178"/>
      <c r="H11" s="78"/>
      <c r="I11" s="177"/>
      <c r="J11" s="54"/>
    </row>
    <row r="12" spans="1:10" ht="14.25">
      <c r="A12" s="357">
        <v>1</v>
      </c>
      <c r="B12" s="93" t="s">
        <v>110</v>
      </c>
      <c r="C12" s="172">
        <v>1206.42</v>
      </c>
      <c r="D12" s="358">
        <f>C12/C34*100</f>
        <v>46.240882487092712</v>
      </c>
      <c r="E12" s="172">
        <v>1626.05</v>
      </c>
      <c r="F12" s="358">
        <f>E12/E34*100</f>
        <v>51.726057552217533</v>
      </c>
      <c r="G12" s="172">
        <v>1209</v>
      </c>
      <c r="H12" s="153">
        <f>G12/G34*100</f>
        <v>45.134507552283608</v>
      </c>
      <c r="I12" s="172">
        <v>914.35</v>
      </c>
      <c r="J12" s="358">
        <f>I12/I34*100</f>
        <v>41.196215363820684</v>
      </c>
    </row>
    <row r="13" spans="1:10">
      <c r="A13" s="47"/>
      <c r="B13" s="54"/>
      <c r="C13" s="178"/>
      <c r="D13" s="98"/>
      <c r="E13" s="62"/>
      <c r="F13" s="98"/>
      <c r="G13" s="178"/>
      <c r="H13" s="152"/>
      <c r="I13" s="177"/>
      <c r="J13" s="98"/>
    </row>
    <row r="14" spans="1:10" ht="14.25">
      <c r="A14" s="357">
        <v>2</v>
      </c>
      <c r="B14" s="93" t="s">
        <v>111</v>
      </c>
      <c r="C14" s="359">
        <v>516.66</v>
      </c>
      <c r="D14" s="360">
        <f>C14/C34*100</f>
        <v>19.803065554103313</v>
      </c>
      <c r="E14" s="359">
        <v>565.35</v>
      </c>
      <c r="F14" s="360">
        <f>E14/E34*100</f>
        <v>17.984272708186207</v>
      </c>
      <c r="G14" s="359">
        <v>420.95</v>
      </c>
      <c r="H14" s="361">
        <f>G14/G34*100</f>
        <v>15.714947025751682</v>
      </c>
      <c r="I14" s="359">
        <v>357.82</v>
      </c>
      <c r="J14" s="358">
        <f>I14/I34*100</f>
        <v>16.12164902004956</v>
      </c>
    </row>
    <row r="15" spans="1:10" ht="14.25">
      <c r="A15" s="357"/>
      <c r="B15" s="93" t="s">
        <v>112</v>
      </c>
      <c r="C15" s="178"/>
      <c r="D15" s="98"/>
      <c r="E15" s="62"/>
      <c r="F15" s="98"/>
      <c r="G15" s="178"/>
      <c r="H15" s="152"/>
      <c r="I15" s="177"/>
      <c r="J15" s="98"/>
    </row>
    <row r="16" spans="1:10">
      <c r="A16" s="47"/>
      <c r="B16" s="54"/>
      <c r="C16" s="178"/>
      <c r="D16" s="98"/>
      <c r="E16" s="62"/>
      <c r="F16" s="98"/>
      <c r="G16" s="178"/>
      <c r="H16" s="152"/>
      <c r="I16" s="177"/>
      <c r="J16" s="98"/>
    </row>
    <row r="17" spans="1:10" ht="14.25">
      <c r="A17" s="357">
        <v>3</v>
      </c>
      <c r="B17" s="93" t="s">
        <v>405</v>
      </c>
      <c r="C17" s="359">
        <f>SUM(C20:C30)</f>
        <v>885.91000000000008</v>
      </c>
      <c r="D17" s="360">
        <f>C17/C34*100</f>
        <v>33.95605195880399</v>
      </c>
      <c r="E17" s="362">
        <f>SUM(E20:E30)</f>
        <v>952.18000000000006</v>
      </c>
      <c r="F17" s="360">
        <f>E17/E34*100</f>
        <v>30.28966973959626</v>
      </c>
      <c r="G17" s="359">
        <f>SUM(G20:G30)</f>
        <v>1048.71</v>
      </c>
      <c r="H17" s="361">
        <f>G17/G34*100</f>
        <v>39.150545421964715</v>
      </c>
      <c r="I17" s="363">
        <f>SUM(I20:I30)</f>
        <v>947.33</v>
      </c>
      <c r="J17" s="358">
        <f>I17/I34*100</f>
        <v>42.682135616129763</v>
      </c>
    </row>
    <row r="18" spans="1:10">
      <c r="A18" s="47"/>
      <c r="B18" s="54" t="s">
        <v>406</v>
      </c>
      <c r="C18" s="364"/>
      <c r="D18" s="365"/>
      <c r="E18" s="365"/>
      <c r="F18" s="366"/>
      <c r="G18" s="364"/>
      <c r="H18" s="328"/>
      <c r="I18" s="367"/>
      <c r="J18" s="98"/>
    </row>
    <row r="19" spans="1:10">
      <c r="A19" s="47"/>
      <c r="B19" s="54" t="s">
        <v>185</v>
      </c>
      <c r="C19" s="364"/>
      <c r="D19" s="365"/>
      <c r="E19" s="365"/>
      <c r="F19" s="366"/>
      <c r="G19" s="364"/>
      <c r="H19" s="328"/>
      <c r="I19" s="368"/>
      <c r="J19" s="98"/>
    </row>
    <row r="20" spans="1:10">
      <c r="A20" s="47"/>
      <c r="B20" s="54" t="s">
        <v>202</v>
      </c>
      <c r="C20" s="369">
        <v>37.590000000000003</v>
      </c>
      <c r="D20" s="365"/>
      <c r="E20" s="369">
        <v>37.590000000000003</v>
      </c>
      <c r="F20" s="366"/>
      <c r="G20" s="369">
        <v>37.590000000000003</v>
      </c>
      <c r="H20" s="366"/>
      <c r="I20" s="369">
        <v>37.590000000000003</v>
      </c>
      <c r="J20" s="98"/>
    </row>
    <row r="21" spans="1:10">
      <c r="A21" s="47"/>
      <c r="B21" s="54" t="s">
        <v>203</v>
      </c>
      <c r="C21" s="178">
        <v>108.18</v>
      </c>
      <c r="D21" s="370"/>
      <c r="E21" s="178">
        <v>108.18</v>
      </c>
      <c r="F21" s="98"/>
      <c r="G21" s="178">
        <v>108.18</v>
      </c>
      <c r="H21" s="98"/>
      <c r="I21" s="178">
        <v>108.18</v>
      </c>
      <c r="J21" s="98"/>
    </row>
    <row r="22" spans="1:10">
      <c r="A22" s="47"/>
      <c r="B22" s="54" t="s">
        <v>187</v>
      </c>
      <c r="C22" s="178">
        <v>25.07</v>
      </c>
      <c r="D22" s="370"/>
      <c r="E22" s="178">
        <v>25.07</v>
      </c>
      <c r="F22" s="98"/>
      <c r="G22" s="178">
        <v>25.07</v>
      </c>
      <c r="H22" s="98"/>
      <c r="I22" s="178">
        <v>25.07</v>
      </c>
      <c r="J22" s="98"/>
    </row>
    <row r="23" spans="1:10">
      <c r="A23" s="47"/>
      <c r="B23" s="54" t="s">
        <v>132</v>
      </c>
      <c r="C23" s="178">
        <v>20.64</v>
      </c>
      <c r="D23" s="370"/>
      <c r="E23" s="178">
        <v>20.64</v>
      </c>
      <c r="F23" s="98"/>
      <c r="G23" s="178">
        <v>20.64</v>
      </c>
      <c r="H23" s="98"/>
      <c r="I23" s="178">
        <v>20.64</v>
      </c>
      <c r="J23" s="98"/>
    </row>
    <row r="24" spans="1:10">
      <c r="A24" s="47"/>
      <c r="B24" s="54" t="s">
        <v>204</v>
      </c>
      <c r="C24" s="178">
        <v>27.68</v>
      </c>
      <c r="D24" s="370"/>
      <c r="E24" s="178">
        <v>27.68</v>
      </c>
      <c r="F24" s="98"/>
      <c r="G24" s="178">
        <v>27.68</v>
      </c>
      <c r="H24" s="98"/>
      <c r="I24" s="178">
        <v>27.68</v>
      </c>
      <c r="J24" s="98"/>
    </row>
    <row r="25" spans="1:10">
      <c r="A25" s="47"/>
      <c r="B25" s="54" t="s">
        <v>205</v>
      </c>
      <c r="C25" s="178">
        <v>633.82000000000005</v>
      </c>
      <c r="D25" s="370"/>
      <c r="E25" s="178">
        <v>633.82000000000005</v>
      </c>
      <c r="F25" s="98"/>
      <c r="G25" s="178">
        <v>633.82000000000005</v>
      </c>
      <c r="H25" s="98"/>
      <c r="I25" s="178">
        <v>633.82000000000005</v>
      </c>
      <c r="J25" s="98"/>
    </row>
    <row r="26" spans="1:10" ht="15">
      <c r="A26" s="47"/>
      <c r="B26" s="54"/>
      <c r="C26" s="371"/>
      <c r="D26" s="370"/>
      <c r="E26" s="370"/>
      <c r="F26" s="98"/>
      <c r="G26" s="372"/>
      <c r="H26" s="152"/>
      <c r="I26" s="373"/>
      <c r="J26" s="98"/>
    </row>
    <row r="27" spans="1:10">
      <c r="A27" s="47"/>
      <c r="B27" s="54" t="s">
        <v>113</v>
      </c>
      <c r="C27" s="372" t="s">
        <v>90</v>
      </c>
      <c r="D27" s="370"/>
      <c r="E27" s="178">
        <v>27.24</v>
      </c>
      <c r="F27" s="98"/>
      <c r="G27" s="178">
        <v>96.99</v>
      </c>
      <c r="H27" s="152"/>
      <c r="I27" s="373" t="s">
        <v>90</v>
      </c>
      <c r="J27" s="98"/>
    </row>
    <row r="28" spans="1:10">
      <c r="A28" s="47"/>
      <c r="B28" s="54" t="s">
        <v>176</v>
      </c>
      <c r="C28" s="178">
        <v>2.7</v>
      </c>
      <c r="D28" s="370"/>
      <c r="E28" s="178">
        <v>41.73</v>
      </c>
      <c r="F28" s="98"/>
      <c r="G28" s="178">
        <v>68.510000000000005</v>
      </c>
      <c r="H28" s="152"/>
      <c r="I28" s="372">
        <v>64.12</v>
      </c>
      <c r="J28" s="98"/>
    </row>
    <row r="29" spans="1:10">
      <c r="A29" s="47"/>
      <c r="B29" s="54" t="s">
        <v>407</v>
      </c>
      <c r="C29" s="178">
        <v>16</v>
      </c>
      <c r="D29" s="370"/>
      <c r="E29" s="178">
        <v>16</v>
      </c>
      <c r="F29" s="98"/>
      <c r="G29" s="178">
        <v>16</v>
      </c>
      <c r="H29" s="98"/>
      <c r="I29" s="178">
        <v>16</v>
      </c>
      <c r="J29" s="98"/>
    </row>
    <row r="30" spans="1:10">
      <c r="A30" s="47"/>
      <c r="B30" s="54" t="s">
        <v>408</v>
      </c>
      <c r="C30" s="178">
        <v>14.23</v>
      </c>
      <c r="D30" s="370"/>
      <c r="E30" s="178">
        <v>14.23</v>
      </c>
      <c r="F30" s="98"/>
      <c r="G30" s="178">
        <v>14.23</v>
      </c>
      <c r="H30" s="98"/>
      <c r="I30" s="178">
        <v>14.23</v>
      </c>
      <c r="J30" s="98"/>
    </row>
    <row r="31" spans="1:10">
      <c r="A31" s="47"/>
      <c r="B31" s="54"/>
      <c r="C31" s="372"/>
      <c r="D31" s="370"/>
      <c r="E31" s="370"/>
      <c r="F31" s="98"/>
      <c r="G31" s="372"/>
      <c r="H31" s="152"/>
      <c r="I31" s="373"/>
      <c r="J31" s="98"/>
    </row>
    <row r="32" spans="1:10" ht="15" hidden="1" customHeight="1">
      <c r="A32" s="357">
        <v>4</v>
      </c>
      <c r="B32" s="338" t="s">
        <v>659</v>
      </c>
      <c r="C32" s="372" t="s">
        <v>90</v>
      </c>
      <c r="D32" s="370"/>
      <c r="E32" s="370" t="s">
        <v>90</v>
      </c>
      <c r="F32" s="98"/>
      <c r="G32" s="374">
        <f>(G12+G14+G17)*0.036*0</f>
        <v>0</v>
      </c>
      <c r="H32" s="153">
        <f>G32/G34*100</f>
        <v>0</v>
      </c>
      <c r="I32" s="373" t="s">
        <v>90</v>
      </c>
      <c r="J32" s="98"/>
    </row>
    <row r="33" spans="1:10" ht="27.75" hidden="1" customHeight="1">
      <c r="A33" s="357"/>
      <c r="B33" s="338"/>
      <c r="C33" s="372"/>
      <c r="D33" s="370"/>
      <c r="E33" s="370"/>
      <c r="F33" s="98"/>
      <c r="G33" s="372"/>
      <c r="H33" s="152"/>
      <c r="I33" s="373"/>
      <c r="J33" s="98"/>
    </row>
    <row r="34" spans="1:10" ht="44.25">
      <c r="A34" s="293"/>
      <c r="B34" s="325" t="s">
        <v>658</v>
      </c>
      <c r="C34" s="172">
        <f>C12+C14+C17</f>
        <v>2608.9899999999998</v>
      </c>
      <c r="D34" s="358">
        <f>SUM(D12:D17)</f>
        <v>100</v>
      </c>
      <c r="E34" s="172">
        <f>E12+E14+E17</f>
        <v>3143.58</v>
      </c>
      <c r="F34" s="358">
        <f>SUM(F12:F17)</f>
        <v>100</v>
      </c>
      <c r="G34" s="172">
        <f>G12+G14+G17+G32</f>
        <v>2678.66</v>
      </c>
      <c r="H34" s="358">
        <f>SUM(H12:H33)</f>
        <v>100</v>
      </c>
      <c r="I34" s="172">
        <f>I12+I14+I17</f>
        <v>2219.5</v>
      </c>
      <c r="J34" s="358">
        <f>SUM(J12:J17)</f>
        <v>100</v>
      </c>
    </row>
    <row r="35" spans="1:10" ht="30">
      <c r="A35" s="293">
        <v>5</v>
      </c>
      <c r="B35" s="326" t="s">
        <v>661</v>
      </c>
      <c r="C35" s="374"/>
      <c r="D35" s="375"/>
      <c r="E35" s="375"/>
      <c r="F35" s="375"/>
      <c r="G35" s="376">
        <f>(G12+G14+G17-1378/2)*0.18</f>
        <v>358.13879999999995</v>
      </c>
      <c r="H35" s="127"/>
      <c r="I35" s="377"/>
      <c r="J35" s="375"/>
    </row>
    <row r="36" spans="1:10" ht="15">
      <c r="A36" s="293"/>
      <c r="B36" s="326"/>
      <c r="C36" s="374"/>
      <c r="D36" s="375"/>
      <c r="E36" s="375"/>
      <c r="F36" s="375"/>
      <c r="G36" s="375"/>
      <c r="H36" s="374"/>
      <c r="I36" s="377"/>
      <c r="J36" s="375"/>
    </row>
    <row r="37" spans="1:10" ht="15">
      <c r="A37" s="293">
        <v>7</v>
      </c>
      <c r="B37" s="326" t="s">
        <v>660</v>
      </c>
      <c r="C37" s="378"/>
      <c r="D37" s="379"/>
      <c r="E37" s="378"/>
      <c r="F37" s="379"/>
      <c r="G37" s="172">
        <f>G12+G14+G17+G32+G35+G36</f>
        <v>3036.7987999999996</v>
      </c>
      <c r="H37" s="372"/>
      <c r="I37" s="378"/>
      <c r="J37" s="379"/>
    </row>
    <row r="38" spans="1:10" ht="18" customHeight="1">
      <c r="A38" s="336"/>
      <c r="B38" s="380" t="s">
        <v>608</v>
      </c>
      <c r="C38" s="381"/>
      <c r="D38" s="381"/>
      <c r="E38" s="381"/>
      <c r="F38" s="382">
        <f>(C34*6.64+E34*11.17+G34*58.04+I34*24.16)/100</f>
        <v>2615.3002859999997</v>
      </c>
      <c r="G38" s="383">
        <f>(C34*6.64+E34*11.17+G37*58.04+I34*24.16)/100</f>
        <v>2823.1640455199999</v>
      </c>
      <c r="H38" s="337" t="s">
        <v>668</v>
      </c>
      <c r="I38" s="384"/>
      <c r="J38" s="385"/>
    </row>
  </sheetData>
  <mergeCells count="5">
    <mergeCell ref="B3:J3"/>
    <mergeCell ref="H38:J38"/>
    <mergeCell ref="B1:J1"/>
    <mergeCell ref="B2:J2"/>
    <mergeCell ref="B32:B33"/>
  </mergeCells>
  <phoneticPr fontId="29" type="noConversion"/>
  <printOptions horizontalCentered="1"/>
  <pageMargins left="0.43307086614173229" right="0.23622047244094491" top="0.27559055118110237" bottom="0.23622047244094491" header="0.27559055118110237" footer="0.19685039370078741"/>
  <pageSetup paperSize="9" scale="93" orientation="landscape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6"/>
  <sheetViews>
    <sheetView topLeftCell="C61" zoomScale="75" workbookViewId="0">
      <selection activeCell="F73" sqref="F73:F75"/>
    </sheetView>
  </sheetViews>
  <sheetFormatPr defaultRowHeight="15"/>
  <cols>
    <col min="1" max="1" width="6.28515625" style="24" customWidth="1"/>
    <col min="2" max="2" width="37.5703125" customWidth="1"/>
    <col min="3" max="3" width="7.140625" style="15" customWidth="1"/>
    <col min="4" max="4" width="19.7109375" customWidth="1"/>
    <col min="5" max="5" width="9.7109375" customWidth="1"/>
    <col min="6" max="6" width="12.7109375" customWidth="1"/>
    <col min="7" max="7" width="22.42578125" style="18" customWidth="1"/>
  </cols>
  <sheetData>
    <row r="1" spans="1:7" ht="15.75">
      <c r="A1" s="346" t="s">
        <v>631</v>
      </c>
      <c r="B1" s="346"/>
      <c r="C1" s="346"/>
      <c r="D1" s="346"/>
      <c r="E1" s="346"/>
      <c r="F1" s="346"/>
    </row>
    <row r="2" spans="1:7" ht="15.75">
      <c r="A2" s="347" t="s">
        <v>416</v>
      </c>
      <c r="B2" s="347"/>
      <c r="C2" s="347"/>
      <c r="D2" s="347"/>
      <c r="E2" s="347"/>
      <c r="F2" s="347"/>
      <c r="G2" s="18" t="s">
        <v>626</v>
      </c>
    </row>
    <row r="3" spans="1:7">
      <c r="A3" s="80" t="s">
        <v>42</v>
      </c>
      <c r="B3" s="224" t="s">
        <v>302</v>
      </c>
      <c r="C3" s="41" t="s">
        <v>92</v>
      </c>
      <c r="D3" s="55" t="s">
        <v>97</v>
      </c>
      <c r="E3" s="55" t="s">
        <v>94</v>
      </c>
      <c r="F3" s="41" t="s">
        <v>107</v>
      </c>
      <c r="G3" s="18">
        <v>1</v>
      </c>
    </row>
    <row r="4" spans="1:7">
      <c r="A4" s="222" t="s">
        <v>373</v>
      </c>
      <c r="B4" s="83" t="s">
        <v>112</v>
      </c>
      <c r="C4" s="46" t="s">
        <v>81</v>
      </c>
      <c r="D4" s="53" t="s">
        <v>98</v>
      </c>
      <c r="E4" s="53" t="s">
        <v>95</v>
      </c>
      <c r="F4" s="46" t="s">
        <v>105</v>
      </c>
    </row>
    <row r="5" spans="1:7">
      <c r="A5" s="222"/>
      <c r="B5" s="243"/>
      <c r="C5" s="46"/>
      <c r="D5" s="53" t="s">
        <v>226</v>
      </c>
      <c r="E5" s="53" t="s">
        <v>632</v>
      </c>
      <c r="F5" s="48"/>
    </row>
    <row r="6" spans="1:7">
      <c r="A6" s="222"/>
      <c r="B6" s="79"/>
      <c r="C6" s="53"/>
      <c r="D6" s="53" t="s">
        <v>101</v>
      </c>
      <c r="E6" s="53" t="s">
        <v>669</v>
      </c>
      <c r="F6" s="48"/>
    </row>
    <row r="7" spans="1:7">
      <c r="A7" s="49"/>
      <c r="B7" s="32"/>
      <c r="C7" s="53"/>
      <c r="D7" s="107">
        <v>50.6</v>
      </c>
      <c r="E7" s="46"/>
      <c r="F7" s="48"/>
    </row>
    <row r="8" spans="1:7">
      <c r="A8" s="102"/>
      <c r="B8" s="103"/>
      <c r="C8" s="104"/>
      <c r="D8" s="244">
        <v>49.4</v>
      </c>
      <c r="E8" s="278" t="s">
        <v>657</v>
      </c>
      <c r="F8" s="123" t="s">
        <v>657</v>
      </c>
    </row>
    <row r="9" spans="1:7">
      <c r="A9" s="245"/>
      <c r="B9" s="93" t="s">
        <v>127</v>
      </c>
      <c r="C9" s="76"/>
      <c r="D9" s="243"/>
      <c r="E9" s="81"/>
      <c r="F9" s="79"/>
    </row>
    <row r="10" spans="1:7">
      <c r="A10" s="225"/>
      <c r="B10" s="68" t="s">
        <v>128</v>
      </c>
      <c r="C10" s="46"/>
      <c r="D10" s="243"/>
      <c r="E10" s="79"/>
      <c r="F10" s="246">
        <f>F12+F15+F19+F34+F43+F47+F52+F58+F61+F64+F71</f>
        <v>2654.420825380952</v>
      </c>
    </row>
    <row r="11" spans="1:7">
      <c r="A11" s="225"/>
      <c r="B11" s="223"/>
      <c r="C11" s="46"/>
      <c r="D11" s="243"/>
      <c r="E11" s="79"/>
      <c r="F11" s="247"/>
    </row>
    <row r="12" spans="1:7">
      <c r="A12" s="245">
        <v>1</v>
      </c>
      <c r="B12" s="93" t="s">
        <v>10</v>
      </c>
      <c r="C12" s="166"/>
      <c r="D12" s="243"/>
      <c r="E12" s="246"/>
      <c r="F12" s="246">
        <f>F13+F14</f>
        <v>168.12843000000001</v>
      </c>
    </row>
    <row r="13" spans="1:7">
      <c r="A13" s="225" t="s">
        <v>424</v>
      </c>
      <c r="B13" s="248" t="s">
        <v>297</v>
      </c>
      <c r="C13" s="76" t="s">
        <v>88</v>
      </c>
      <c r="D13" s="249">
        <f>1/4*$D$7/100</f>
        <v>0.1265</v>
      </c>
      <c r="E13" s="62">
        <v>833.37</v>
      </c>
      <c r="F13" s="247">
        <f>E13*D13</f>
        <v>105.421305</v>
      </c>
    </row>
    <row r="14" spans="1:7">
      <c r="A14" s="225" t="s">
        <v>425</v>
      </c>
      <c r="B14" s="248" t="s">
        <v>587</v>
      </c>
      <c r="C14" s="76" t="s">
        <v>88</v>
      </c>
      <c r="D14" s="249">
        <f>1/8*$D$8/100</f>
        <v>6.1749999999999999E-2</v>
      </c>
      <c r="E14" s="62">
        <v>1015.5</v>
      </c>
      <c r="F14" s="247">
        <f>E14*D14</f>
        <v>62.707124999999998</v>
      </c>
    </row>
    <row r="15" spans="1:7">
      <c r="A15" s="245" t="s">
        <v>435</v>
      </c>
      <c r="B15" s="93" t="s">
        <v>578</v>
      </c>
      <c r="C15" s="166"/>
      <c r="D15" s="250"/>
      <c r="E15" s="62"/>
      <c r="F15" s="246">
        <f>F16+F17+F18</f>
        <v>299.89739314285714</v>
      </c>
    </row>
    <row r="16" spans="1:7">
      <c r="A16" s="225" t="s">
        <v>494</v>
      </c>
      <c r="B16" s="248" t="s">
        <v>587</v>
      </c>
      <c r="C16" s="76" t="s">
        <v>88</v>
      </c>
      <c r="D16" s="249">
        <f>1/7*$D$8/100</f>
        <v>7.0571428571428563E-2</v>
      </c>
      <c r="E16" s="62">
        <v>2304.64</v>
      </c>
      <c r="F16" s="247">
        <f>E16*D16</f>
        <v>162.64173714285712</v>
      </c>
    </row>
    <row r="17" spans="1:7">
      <c r="A17" s="225" t="s">
        <v>495</v>
      </c>
      <c r="B17" s="248" t="s">
        <v>71</v>
      </c>
      <c r="C17" s="76" t="s">
        <v>88</v>
      </c>
      <c r="D17" s="249">
        <f>1/5*$D$7/100</f>
        <v>0.10120000000000001</v>
      </c>
      <c r="E17" s="62">
        <v>721.54</v>
      </c>
      <c r="F17" s="247">
        <f>E17*D17</f>
        <v>73.01984800000001</v>
      </c>
    </row>
    <row r="18" spans="1:7">
      <c r="A18" s="225" t="s">
        <v>496</v>
      </c>
      <c r="B18" s="248" t="s">
        <v>72</v>
      </c>
      <c r="C18" s="76" t="s">
        <v>88</v>
      </c>
      <c r="D18" s="249">
        <f>1/5*$D$8/100</f>
        <v>9.8800000000000013E-2</v>
      </c>
      <c r="E18" s="62">
        <v>650.16</v>
      </c>
      <c r="F18" s="247">
        <f>E18*D18</f>
        <v>64.235808000000006</v>
      </c>
    </row>
    <row r="19" spans="1:7">
      <c r="A19" s="245" t="s">
        <v>436</v>
      </c>
      <c r="B19" s="93" t="s">
        <v>20</v>
      </c>
      <c r="C19" s="166"/>
      <c r="D19" s="250"/>
      <c r="E19" s="62"/>
      <c r="F19" s="246">
        <f>F20+F21+F22+F23+F25+F26+F27+F28+F29+F30+F31+F32+F33</f>
        <v>890.22860300000002</v>
      </c>
    </row>
    <row r="20" spans="1:7">
      <c r="A20" s="225" t="s">
        <v>478</v>
      </c>
      <c r="B20" s="248" t="s">
        <v>225</v>
      </c>
      <c r="C20" s="76" t="s">
        <v>88</v>
      </c>
      <c r="D20" s="249">
        <f>1/5*$D$7/100</f>
        <v>0.10120000000000001</v>
      </c>
      <c r="E20" s="62">
        <v>1246.93</v>
      </c>
      <c r="F20" s="247">
        <f>E20*D20</f>
        <v>126.18931600000002</v>
      </c>
    </row>
    <row r="21" spans="1:7">
      <c r="A21" s="225" t="s">
        <v>479</v>
      </c>
      <c r="B21" s="248" t="s">
        <v>604</v>
      </c>
      <c r="C21" s="76" t="s">
        <v>88</v>
      </c>
      <c r="D21" s="249">
        <f>5/4*$D$7/100</f>
        <v>0.63249999999999995</v>
      </c>
      <c r="E21" s="62">
        <v>213.21</v>
      </c>
      <c r="F21" s="247">
        <f>E21*D21</f>
        <v>134.85532499999999</v>
      </c>
    </row>
    <row r="22" spans="1:7">
      <c r="A22" s="225" t="s">
        <v>480</v>
      </c>
      <c r="B22" s="248" t="s">
        <v>73</v>
      </c>
      <c r="C22" s="76" t="s">
        <v>88</v>
      </c>
      <c r="D22" s="249">
        <f>1/4*$D$7/100</f>
        <v>0.1265</v>
      </c>
      <c r="E22" s="62">
        <v>332.54</v>
      </c>
      <c r="F22" s="247">
        <f>E22*D22</f>
        <v>42.066310000000001</v>
      </c>
    </row>
    <row r="23" spans="1:7">
      <c r="A23" s="225" t="s">
        <v>481</v>
      </c>
      <c r="B23" s="248" t="s">
        <v>326</v>
      </c>
      <c r="C23" s="76" t="s">
        <v>88</v>
      </c>
      <c r="D23" s="249">
        <f>1/3*$D$7/100</f>
        <v>0.16866666666666666</v>
      </c>
      <c r="E23" s="62">
        <v>893.27</v>
      </c>
      <c r="F23" s="247">
        <f>E23*D23</f>
        <v>150.66487333333333</v>
      </c>
    </row>
    <row r="24" spans="1:7">
      <c r="A24" s="225"/>
      <c r="B24" s="248" t="s">
        <v>327</v>
      </c>
      <c r="C24" s="76"/>
      <c r="D24" s="249"/>
      <c r="E24" s="62"/>
      <c r="F24" s="246"/>
    </row>
    <row r="25" spans="1:7" ht="12.75">
      <c r="A25" s="225" t="s">
        <v>482</v>
      </c>
      <c r="B25" s="248" t="s">
        <v>645</v>
      </c>
      <c r="C25" s="76" t="s">
        <v>88</v>
      </c>
      <c r="D25" s="249">
        <f>1/3*$D$7/100</f>
        <v>0.16866666666666666</v>
      </c>
      <c r="E25" s="62">
        <v>294.16000000000003</v>
      </c>
      <c r="F25" s="246">
        <f t="shared" ref="F25:F33" si="0">E25*D25</f>
        <v>49.614986666666667</v>
      </c>
      <c r="G25" s="249">
        <f>1/3*$D$7/100+1/3*$D$8/100</f>
        <v>0.33333333333333331</v>
      </c>
    </row>
    <row r="26" spans="1:7" ht="12.75">
      <c r="A26" s="225" t="s">
        <v>483</v>
      </c>
      <c r="B26" s="248" t="s">
        <v>646</v>
      </c>
      <c r="C26" s="76"/>
      <c r="D26" s="249">
        <f>1/3*$D$8/100</f>
        <v>0.16466666666666666</v>
      </c>
      <c r="E26" s="62">
        <v>259.66000000000003</v>
      </c>
      <c r="F26" s="246">
        <f t="shared" si="0"/>
        <v>42.75734666666667</v>
      </c>
      <c r="G26" s="310"/>
    </row>
    <row r="27" spans="1:7">
      <c r="A27" s="225" t="s">
        <v>500</v>
      </c>
      <c r="B27" s="248" t="s">
        <v>74</v>
      </c>
      <c r="C27" s="76" t="s">
        <v>88</v>
      </c>
      <c r="D27" s="249">
        <f>1/5*$D$8/100</f>
        <v>9.8800000000000013E-2</v>
      </c>
      <c r="E27" s="62">
        <v>426.93</v>
      </c>
      <c r="F27" s="247">
        <f t="shared" si="0"/>
        <v>42.180684000000007</v>
      </c>
    </row>
    <row r="28" spans="1:7">
      <c r="A28" s="225" t="s">
        <v>501</v>
      </c>
      <c r="B28" s="248" t="s">
        <v>75</v>
      </c>
      <c r="C28" s="76" t="s">
        <v>88</v>
      </c>
      <c r="D28" s="249">
        <f>1/3*$D$8/100</f>
        <v>0.16466666666666666</v>
      </c>
      <c r="E28" s="62">
        <v>187.46</v>
      </c>
      <c r="F28" s="247">
        <f t="shared" si="0"/>
        <v>30.868413333333333</v>
      </c>
    </row>
    <row r="29" spans="1:7">
      <c r="A29" s="225" t="s">
        <v>528</v>
      </c>
      <c r="B29" s="248" t="s">
        <v>76</v>
      </c>
      <c r="C29" s="76" t="s">
        <v>88</v>
      </c>
      <c r="D29" s="249">
        <f>1/5*$D$8/100</f>
        <v>9.8800000000000013E-2</v>
      </c>
      <c r="E29" s="62">
        <v>187.46</v>
      </c>
      <c r="F29" s="247">
        <f t="shared" si="0"/>
        <v>18.521048000000004</v>
      </c>
    </row>
    <row r="30" spans="1:7">
      <c r="A30" s="225" t="s">
        <v>529</v>
      </c>
      <c r="B30" s="248" t="s">
        <v>342</v>
      </c>
      <c r="C30" s="76" t="s">
        <v>88</v>
      </c>
      <c r="D30" s="249">
        <f>3/5*$D$8/100</f>
        <v>0.2964</v>
      </c>
      <c r="E30" s="62">
        <v>238.55</v>
      </c>
      <c r="F30" s="247">
        <f t="shared" si="0"/>
        <v>70.706220000000002</v>
      </c>
    </row>
    <row r="31" spans="1:7">
      <c r="A31" s="225" t="s">
        <v>530</v>
      </c>
      <c r="B31" s="248" t="s">
        <v>296</v>
      </c>
      <c r="C31" s="76" t="s">
        <v>88</v>
      </c>
      <c r="D31" s="249">
        <f>1/5*$D$8/100</f>
        <v>9.8800000000000013E-2</v>
      </c>
      <c r="E31" s="62">
        <v>290.3</v>
      </c>
      <c r="F31" s="247">
        <f t="shared" si="0"/>
        <v>28.681640000000005</v>
      </c>
    </row>
    <row r="32" spans="1:7">
      <c r="A32" s="225" t="s">
        <v>654</v>
      </c>
      <c r="B32" s="248" t="s">
        <v>651</v>
      </c>
      <c r="C32" s="76" t="s">
        <v>88</v>
      </c>
      <c r="D32" s="250">
        <f>1/3*$D$7/100</f>
        <v>0.16866666666666666</v>
      </c>
      <c r="E32" s="62">
        <v>459.97</v>
      </c>
      <c r="F32" s="246">
        <f t="shared" si="0"/>
        <v>77.581606666666673</v>
      </c>
    </row>
    <row r="33" spans="1:6">
      <c r="A33" s="24" t="s">
        <v>647</v>
      </c>
      <c r="B33" s="248" t="s">
        <v>655</v>
      </c>
      <c r="C33" s="76" t="s">
        <v>88</v>
      </c>
      <c r="D33" s="250">
        <f>1/3*$D$8/100</f>
        <v>0.16466666666666666</v>
      </c>
      <c r="E33" s="62">
        <v>458.75</v>
      </c>
      <c r="F33" s="246">
        <f t="shared" si="0"/>
        <v>75.540833333333325</v>
      </c>
    </row>
    <row r="34" spans="1:6">
      <c r="A34" s="245" t="s">
        <v>437</v>
      </c>
      <c r="B34" s="93" t="s">
        <v>12</v>
      </c>
      <c r="C34" s="166"/>
      <c r="D34" s="250"/>
      <c r="E34" s="62"/>
      <c r="F34" s="246">
        <f>F35+F36+F37+F38+F39+F40+F41+F42</f>
        <v>304.97622733333333</v>
      </c>
    </row>
    <row r="35" spans="1:6">
      <c r="A35" s="225" t="s">
        <v>438</v>
      </c>
      <c r="B35" s="248" t="s">
        <v>77</v>
      </c>
      <c r="C35" s="76" t="s">
        <v>88</v>
      </c>
      <c r="D35" s="249">
        <f>5/2*$D$7/100</f>
        <v>1.2649999999999999</v>
      </c>
      <c r="E35" s="62">
        <v>45.68</v>
      </c>
      <c r="F35" s="247">
        <f t="shared" ref="F35:F42" si="1">E35*D35</f>
        <v>57.785199999999996</v>
      </c>
    </row>
    <row r="36" spans="1:6">
      <c r="A36" s="225" t="s">
        <v>439</v>
      </c>
      <c r="B36" s="248" t="s">
        <v>588</v>
      </c>
      <c r="C36" s="76" t="s">
        <v>88</v>
      </c>
      <c r="D36" s="243">
        <f>2/1*$D$7/100</f>
        <v>1.012</v>
      </c>
      <c r="E36" s="62">
        <v>59.37</v>
      </c>
      <c r="F36" s="247">
        <f t="shared" si="1"/>
        <v>60.082439999999998</v>
      </c>
    </row>
    <row r="37" spans="1:6">
      <c r="A37" s="225" t="s">
        <v>440</v>
      </c>
      <c r="B37" s="248" t="s">
        <v>78</v>
      </c>
      <c r="C37" s="76" t="s">
        <v>88</v>
      </c>
      <c r="D37" s="249">
        <f>5/2*$D$8/100</f>
        <v>1.2350000000000001</v>
      </c>
      <c r="E37" s="62">
        <v>36.5</v>
      </c>
      <c r="F37" s="247">
        <f t="shared" si="1"/>
        <v>45.077500000000001</v>
      </c>
    </row>
    <row r="38" spans="1:6">
      <c r="A38" s="225" t="s">
        <v>441</v>
      </c>
      <c r="B38" s="248" t="s">
        <v>22</v>
      </c>
      <c r="C38" s="76" t="s">
        <v>88</v>
      </c>
      <c r="D38" s="249">
        <f>2/2*$D$8/100</f>
        <v>0.49399999999999999</v>
      </c>
      <c r="E38" s="62">
        <v>111.7</v>
      </c>
      <c r="F38" s="247">
        <f t="shared" si="1"/>
        <v>55.1798</v>
      </c>
    </row>
    <row r="39" spans="1:6">
      <c r="A39" s="225" t="s">
        <v>442</v>
      </c>
      <c r="B39" s="248" t="s">
        <v>30</v>
      </c>
      <c r="C39" s="76" t="s">
        <v>88</v>
      </c>
      <c r="D39" s="249">
        <f>2/3*$D$8/100</f>
        <v>0.32933333333333331</v>
      </c>
      <c r="E39" s="62">
        <v>117.34</v>
      </c>
      <c r="F39" s="247">
        <f t="shared" si="1"/>
        <v>38.643973333333335</v>
      </c>
    </row>
    <row r="40" spans="1:6">
      <c r="A40" s="225" t="s">
        <v>443</v>
      </c>
      <c r="B40" s="248" t="s">
        <v>21</v>
      </c>
      <c r="C40" s="76" t="s">
        <v>88</v>
      </c>
      <c r="D40" s="249">
        <f>2/4*$D$8/100</f>
        <v>0.247</v>
      </c>
      <c r="E40" s="62">
        <v>82.51</v>
      </c>
      <c r="F40" s="247">
        <f t="shared" si="1"/>
        <v>20.37997</v>
      </c>
    </row>
    <row r="41" spans="1:6">
      <c r="A41" s="225" t="s">
        <v>444</v>
      </c>
      <c r="B41" s="248" t="s">
        <v>329</v>
      </c>
      <c r="C41" s="76" t="s">
        <v>88</v>
      </c>
      <c r="D41" s="249">
        <f>(1/10*$D$7)/100</f>
        <v>5.0600000000000006E-2</v>
      </c>
      <c r="E41" s="62">
        <v>76.84</v>
      </c>
      <c r="F41" s="247">
        <f t="shared" si="1"/>
        <v>3.8881040000000007</v>
      </c>
    </row>
    <row r="42" spans="1:6">
      <c r="A42" s="225" t="s">
        <v>531</v>
      </c>
      <c r="B42" s="248" t="s">
        <v>328</v>
      </c>
      <c r="C42" s="76" t="s">
        <v>88</v>
      </c>
      <c r="D42" s="249">
        <f>(1/4*$D$8)/100</f>
        <v>0.1235</v>
      </c>
      <c r="E42" s="62">
        <v>193.84</v>
      </c>
      <c r="F42" s="247">
        <f t="shared" si="1"/>
        <v>23.939240000000002</v>
      </c>
    </row>
    <row r="43" spans="1:6">
      <c r="A43" s="245" t="s">
        <v>445</v>
      </c>
      <c r="B43" s="93" t="s">
        <v>14</v>
      </c>
      <c r="C43" s="166"/>
      <c r="D43" s="250"/>
      <c r="E43" s="62"/>
      <c r="F43" s="246">
        <f>F44+F45+F46</f>
        <v>197.66044500000001</v>
      </c>
    </row>
    <row r="44" spans="1:6">
      <c r="A44" s="225" t="s">
        <v>446</v>
      </c>
      <c r="B44" s="248" t="s">
        <v>27</v>
      </c>
      <c r="C44" s="76" t="s">
        <v>88</v>
      </c>
      <c r="D44" s="249">
        <f>7/1*$D$7/100</f>
        <v>3.5419999999999998</v>
      </c>
      <c r="E44" s="62">
        <v>28.61</v>
      </c>
      <c r="F44" s="247">
        <f>E44*D44</f>
        <v>101.33662</v>
      </c>
    </row>
    <row r="45" spans="1:6">
      <c r="A45" s="225" t="s">
        <v>447</v>
      </c>
      <c r="B45" s="248" t="s">
        <v>25</v>
      </c>
      <c r="C45" s="76" t="s">
        <v>88</v>
      </c>
      <c r="D45" s="249">
        <f>6/2*$D$8/100</f>
        <v>1.482</v>
      </c>
      <c r="E45" s="62">
        <v>57.3</v>
      </c>
      <c r="F45" s="247">
        <f>E45*D45</f>
        <v>84.918599999999998</v>
      </c>
    </row>
    <row r="46" spans="1:6">
      <c r="A46" s="225" t="s">
        <v>448</v>
      </c>
      <c r="B46" s="248" t="s">
        <v>227</v>
      </c>
      <c r="C46" s="76" t="s">
        <v>88</v>
      </c>
      <c r="D46" s="249">
        <f>1/4*$D$8/100</f>
        <v>0.1235</v>
      </c>
      <c r="E46" s="62">
        <v>92.35</v>
      </c>
      <c r="F46" s="247">
        <f>E46*D46</f>
        <v>11.405225</v>
      </c>
    </row>
    <row r="47" spans="1:6">
      <c r="A47" s="245" t="s">
        <v>452</v>
      </c>
      <c r="B47" s="93" t="s">
        <v>15</v>
      </c>
      <c r="C47" s="166"/>
      <c r="D47" s="250"/>
      <c r="E47" s="62"/>
      <c r="F47" s="246">
        <f>F48+F49+F51</f>
        <v>53.453408333333329</v>
      </c>
    </row>
    <row r="48" spans="1:6">
      <c r="A48" s="225" t="s">
        <v>513</v>
      </c>
      <c r="B48" s="248" t="s">
        <v>339</v>
      </c>
      <c r="C48" s="76" t="s">
        <v>88</v>
      </c>
      <c r="D48" s="249">
        <f>1/6*$D$7/100</f>
        <v>8.433333333333333E-2</v>
      </c>
      <c r="E48" s="62">
        <v>123.5</v>
      </c>
      <c r="F48" s="247">
        <f>E48*D48</f>
        <v>10.415166666666666</v>
      </c>
    </row>
    <row r="49" spans="1:6">
      <c r="A49" s="225" t="s">
        <v>514</v>
      </c>
      <c r="B49" s="248" t="s">
        <v>210</v>
      </c>
      <c r="C49" s="76" t="s">
        <v>211</v>
      </c>
      <c r="D49" s="249">
        <f>(1/6*$D$7+1/4*$D$8)/100</f>
        <v>0.20783333333333331</v>
      </c>
      <c r="E49" s="62">
        <v>181.82</v>
      </c>
      <c r="F49" s="247">
        <f>E49*D49</f>
        <v>37.788256666666662</v>
      </c>
    </row>
    <row r="50" spans="1:6">
      <c r="A50" s="225"/>
      <c r="B50" s="248" t="s">
        <v>264</v>
      </c>
      <c r="C50" s="76"/>
      <c r="D50" s="249"/>
      <c r="E50" s="62"/>
      <c r="F50" s="247"/>
    </row>
    <row r="51" spans="1:6">
      <c r="A51" s="225" t="s">
        <v>515</v>
      </c>
      <c r="B51" s="248" t="s">
        <v>228</v>
      </c>
      <c r="C51" s="76" t="s">
        <v>88</v>
      </c>
      <c r="D51" s="249">
        <f>1/4*$D$8/100</f>
        <v>0.1235</v>
      </c>
      <c r="E51" s="62">
        <v>42.51</v>
      </c>
      <c r="F51" s="247">
        <f>E51*D51</f>
        <v>5.2499849999999997</v>
      </c>
    </row>
    <row r="52" spans="1:6">
      <c r="A52" s="245" t="s">
        <v>453</v>
      </c>
      <c r="B52" s="93" t="s">
        <v>16</v>
      </c>
      <c r="C52" s="166"/>
      <c r="D52" s="250"/>
      <c r="E52" s="62"/>
      <c r="F52" s="246">
        <f>F53+F55+F56+F57</f>
        <v>79.411808666666658</v>
      </c>
    </row>
    <row r="53" spans="1:6">
      <c r="A53" s="225" t="s">
        <v>454</v>
      </c>
      <c r="B53" s="248" t="s">
        <v>364</v>
      </c>
      <c r="C53" s="76" t="s">
        <v>88</v>
      </c>
      <c r="D53" s="249">
        <f>(1/3*$D$7+2/3*$D$8)/100</f>
        <v>0.498</v>
      </c>
      <c r="E53" s="62">
        <v>43.01</v>
      </c>
      <c r="F53" s="247">
        <f>E53*D53</f>
        <v>21.418979999999998</v>
      </c>
    </row>
    <row r="54" spans="1:6">
      <c r="A54" s="225"/>
      <c r="B54" s="248" t="s">
        <v>212</v>
      </c>
      <c r="C54" s="76"/>
      <c r="D54" s="249"/>
      <c r="E54" s="62"/>
      <c r="F54" s="247"/>
    </row>
    <row r="55" spans="1:6">
      <c r="A55" s="225" t="s">
        <v>455</v>
      </c>
      <c r="B55" s="248" t="s">
        <v>231</v>
      </c>
      <c r="C55" s="76" t="s">
        <v>88</v>
      </c>
      <c r="D55" s="249">
        <f>1/10*$D$7/100</f>
        <v>5.0600000000000006E-2</v>
      </c>
      <c r="E55" s="62">
        <v>76.95</v>
      </c>
      <c r="F55" s="247">
        <f>E55*D55</f>
        <v>3.8936700000000006</v>
      </c>
    </row>
    <row r="56" spans="1:6">
      <c r="A56" s="225" t="s">
        <v>456</v>
      </c>
      <c r="B56" s="248" t="s">
        <v>232</v>
      </c>
      <c r="C56" s="76" t="s">
        <v>88</v>
      </c>
      <c r="D56" s="249">
        <f>1/6*$D$7/100</f>
        <v>8.433333333333333E-2</v>
      </c>
      <c r="E56" s="62">
        <v>424.19</v>
      </c>
      <c r="F56" s="247">
        <f>E56*D56</f>
        <v>35.773356666666665</v>
      </c>
    </row>
    <row r="57" spans="1:6">
      <c r="A57" s="225" t="s">
        <v>457</v>
      </c>
      <c r="B57" s="248" t="s">
        <v>589</v>
      </c>
      <c r="C57" s="76"/>
      <c r="D57" s="249"/>
      <c r="E57" s="62"/>
      <c r="F57" s="247">
        <f>(F53+F55+F56)*0.3</f>
        <v>18.325801999999999</v>
      </c>
    </row>
    <row r="58" spans="1:6">
      <c r="A58" s="245" t="s">
        <v>458</v>
      </c>
      <c r="B58" s="93" t="s">
        <v>17</v>
      </c>
      <c r="C58" s="166"/>
      <c r="D58" s="250"/>
      <c r="E58" s="62"/>
      <c r="F58" s="246">
        <f>F59+F60</f>
        <v>110.996188</v>
      </c>
    </row>
    <row r="59" spans="1:6">
      <c r="A59" s="225" t="s">
        <v>459</v>
      </c>
      <c r="B59" s="248" t="s">
        <v>605</v>
      </c>
      <c r="C59" s="76" t="s">
        <v>335</v>
      </c>
      <c r="D59" s="249">
        <f>1/5*$D$7/100</f>
        <v>0.10120000000000001</v>
      </c>
      <c r="E59" s="62">
        <v>560.41</v>
      </c>
      <c r="F59" s="247">
        <f>E59*D59</f>
        <v>56.713492000000002</v>
      </c>
    </row>
    <row r="60" spans="1:6">
      <c r="A60" s="225" t="s">
        <v>460</v>
      </c>
      <c r="B60" s="248" t="s">
        <v>590</v>
      </c>
      <c r="C60" s="76" t="s">
        <v>335</v>
      </c>
      <c r="D60" s="249">
        <f>1/5*$D$8/100</f>
        <v>9.8800000000000013E-2</v>
      </c>
      <c r="E60" s="62">
        <v>549.41999999999996</v>
      </c>
      <c r="F60" s="247">
        <f>E60*D60</f>
        <v>54.282696000000001</v>
      </c>
    </row>
    <row r="61" spans="1:6">
      <c r="A61" s="245" t="s">
        <v>465</v>
      </c>
      <c r="B61" s="93" t="s">
        <v>18</v>
      </c>
      <c r="C61" s="76"/>
      <c r="D61" s="250"/>
      <c r="E61" s="62"/>
      <c r="F61" s="246">
        <f>F62+F63</f>
        <v>178.96180800000002</v>
      </c>
    </row>
    <row r="62" spans="1:6">
      <c r="A62" s="225" t="s">
        <v>486</v>
      </c>
      <c r="B62" s="248" t="s">
        <v>213</v>
      </c>
      <c r="C62" s="76" t="s">
        <v>335</v>
      </c>
      <c r="D62" s="249">
        <f>2/5*$D$7/100</f>
        <v>0.20240000000000002</v>
      </c>
      <c r="E62" s="62">
        <v>451.07</v>
      </c>
      <c r="F62" s="247">
        <f>E62*D62</f>
        <v>91.296568000000008</v>
      </c>
    </row>
    <row r="63" spans="1:6">
      <c r="A63" s="225" t="s">
        <v>487</v>
      </c>
      <c r="B63" s="248" t="s">
        <v>591</v>
      </c>
      <c r="C63" s="76" t="s">
        <v>335</v>
      </c>
      <c r="D63" s="249">
        <f>1/2*$D$8/100</f>
        <v>0.247</v>
      </c>
      <c r="E63" s="62">
        <v>354.92</v>
      </c>
      <c r="F63" s="247">
        <f>E63*D63</f>
        <v>87.665239999999997</v>
      </c>
    </row>
    <row r="64" spans="1:6">
      <c r="A64" s="245" t="s">
        <v>466</v>
      </c>
      <c r="B64" s="93" t="s">
        <v>644</v>
      </c>
      <c r="C64" s="76"/>
      <c r="D64" s="250"/>
      <c r="E64" s="62"/>
      <c r="F64" s="246">
        <f>F65+F66+F67+F68+F69+F70</f>
        <v>328.98393866666669</v>
      </c>
    </row>
    <row r="65" spans="1:6">
      <c r="A65" s="225" t="s">
        <v>467</v>
      </c>
      <c r="B65" s="248" t="s">
        <v>28</v>
      </c>
      <c r="C65" s="76" t="s">
        <v>335</v>
      </c>
      <c r="D65" s="249">
        <f>1/3*$D$7/100</f>
        <v>0.16866666666666666</v>
      </c>
      <c r="E65" s="62">
        <v>389.11</v>
      </c>
      <c r="F65" s="247">
        <f t="shared" ref="F65:F71" si="2">E65*D65</f>
        <v>65.629886666666664</v>
      </c>
    </row>
    <row r="66" spans="1:6">
      <c r="A66" s="225" t="s">
        <v>468</v>
      </c>
      <c r="B66" s="248" t="s">
        <v>343</v>
      </c>
      <c r="C66" s="76" t="s">
        <v>335</v>
      </c>
      <c r="D66" s="249">
        <f>2/5*$D$7/100</f>
        <v>0.20240000000000002</v>
      </c>
      <c r="E66" s="62">
        <v>398.23</v>
      </c>
      <c r="F66" s="247">
        <f t="shared" si="2"/>
        <v>80.601752000000019</v>
      </c>
    </row>
    <row r="67" spans="1:6">
      <c r="A67" s="225" t="s">
        <v>489</v>
      </c>
      <c r="B67" s="248" t="s">
        <v>592</v>
      </c>
      <c r="C67" s="76" t="s">
        <v>335</v>
      </c>
      <c r="D67" s="249">
        <f>1/1.5*$D$8/100</f>
        <v>0.32933333333333331</v>
      </c>
      <c r="E67" s="62">
        <v>303.44</v>
      </c>
      <c r="F67" s="247">
        <f t="shared" si="2"/>
        <v>99.932906666666653</v>
      </c>
    </row>
    <row r="68" spans="1:6">
      <c r="A68" s="225" t="s">
        <v>490</v>
      </c>
      <c r="B68" s="248" t="s">
        <v>593</v>
      </c>
      <c r="C68" s="76" t="s">
        <v>335</v>
      </c>
      <c r="D68" s="249">
        <f>1/3*$D$8/100</f>
        <v>0.16466666666666666</v>
      </c>
      <c r="E68" s="62">
        <v>197.02</v>
      </c>
      <c r="F68" s="247">
        <f t="shared" si="2"/>
        <v>32.442626666666669</v>
      </c>
    </row>
    <row r="69" spans="1:6">
      <c r="A69" s="225" t="s">
        <v>491</v>
      </c>
      <c r="B69" s="248" t="s">
        <v>653</v>
      </c>
      <c r="C69" s="76" t="s">
        <v>335</v>
      </c>
      <c r="D69" s="249">
        <f>1/3*$D$7/100</f>
        <v>0.16866666666666666</v>
      </c>
      <c r="E69" s="62">
        <v>154.86000000000001</v>
      </c>
      <c r="F69" s="247">
        <f t="shared" si="2"/>
        <v>26.119720000000001</v>
      </c>
    </row>
    <row r="70" spans="1:6">
      <c r="A70" s="225" t="s">
        <v>492</v>
      </c>
      <c r="B70" s="248" t="s">
        <v>652</v>
      </c>
      <c r="C70" s="76" t="s">
        <v>335</v>
      </c>
      <c r="D70" s="249">
        <f>1/3*$D$8/100</f>
        <v>0.16466666666666666</v>
      </c>
      <c r="E70" s="62">
        <v>147.31</v>
      </c>
      <c r="F70" s="247">
        <f t="shared" si="2"/>
        <v>24.257046666666664</v>
      </c>
    </row>
    <row r="71" spans="1:6">
      <c r="A71" s="225" t="s">
        <v>470</v>
      </c>
      <c r="B71" s="93" t="s">
        <v>256</v>
      </c>
      <c r="C71" s="76" t="s">
        <v>335</v>
      </c>
      <c r="D71" s="249">
        <f>(1/7*$D$7+1/3*$D$8)/100</f>
        <v>0.23695238095238091</v>
      </c>
      <c r="E71" s="62">
        <v>176.08</v>
      </c>
      <c r="F71" s="246">
        <f t="shared" si="2"/>
        <v>41.722575238095231</v>
      </c>
    </row>
    <row r="72" spans="1:6">
      <c r="A72" s="225"/>
      <c r="B72" s="248"/>
      <c r="C72" s="76"/>
      <c r="D72" s="249"/>
      <c r="E72" s="62"/>
      <c r="F72" s="246"/>
    </row>
    <row r="73" spans="1:6">
      <c r="A73" s="251"/>
      <c r="B73" s="217" t="s">
        <v>299</v>
      </c>
      <c r="C73" s="203"/>
      <c r="D73" s="241"/>
      <c r="E73" s="241"/>
      <c r="F73" s="219">
        <f>загальнос!$F$82</f>
        <v>2396.9836791015505</v>
      </c>
    </row>
    <row r="74" spans="1:6">
      <c r="A74" s="96" t="s">
        <v>374</v>
      </c>
      <c r="B74" s="252"/>
      <c r="C74" s="161"/>
      <c r="D74" s="60"/>
      <c r="E74" s="60"/>
      <c r="F74" s="172">
        <f>F10+F73</f>
        <v>5051.4045044825025</v>
      </c>
    </row>
    <row r="75" spans="1:6">
      <c r="A75" s="253" t="s">
        <v>375</v>
      </c>
      <c r="B75" s="254"/>
      <c r="C75" s="208"/>
      <c r="D75" s="255"/>
      <c r="E75" s="255"/>
      <c r="F75" s="174">
        <f>F74/12</f>
        <v>420.95037537354187</v>
      </c>
    </row>
    <row r="76" spans="1:6">
      <c r="D76" s="3"/>
      <c r="E76" s="3"/>
      <c r="F76" s="3"/>
    </row>
  </sheetData>
  <mergeCells count="2">
    <mergeCell ref="A1:F1"/>
    <mergeCell ref="A2:F2"/>
  </mergeCells>
  <phoneticPr fontId="29" type="noConversion"/>
  <pageMargins left="0.75" right="0.28000000000000003" top="0.89" bottom="0.75" header="0.57999999999999996" footer="0.5"/>
  <pageSetup paperSize="9" orientation="portrait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3:F74"/>
  <sheetViews>
    <sheetView topLeftCell="A59" zoomScale="75" workbookViewId="0">
      <selection activeCell="F72" sqref="F72:F74"/>
    </sheetView>
  </sheetViews>
  <sheetFormatPr defaultRowHeight="12.75"/>
  <cols>
    <col min="1" max="1" width="6.28515625" style="24" customWidth="1"/>
    <col min="2" max="2" width="32.7109375" customWidth="1"/>
    <col min="4" max="4" width="18.85546875" customWidth="1"/>
    <col min="5" max="5" width="11.140625" style="19" customWidth="1"/>
    <col min="6" max="6" width="12.140625" bestFit="1" customWidth="1"/>
  </cols>
  <sheetData>
    <row r="3" spans="1:6" ht="15.75">
      <c r="A3" s="346" t="s">
        <v>417</v>
      </c>
      <c r="B3" s="346"/>
      <c r="C3" s="346"/>
      <c r="D3" s="346"/>
      <c r="E3" s="346"/>
      <c r="F3" s="346"/>
    </row>
    <row r="4" spans="1:6" ht="19.5" customHeight="1">
      <c r="A4" s="347" t="s">
        <v>322</v>
      </c>
      <c r="B4" s="347"/>
      <c r="C4" s="347"/>
      <c r="D4" s="347"/>
      <c r="E4" s="347"/>
      <c r="F4" s="347"/>
    </row>
    <row r="5" spans="1:6">
      <c r="A5" s="49" t="s">
        <v>42</v>
      </c>
      <c r="B5" s="35" t="s">
        <v>305</v>
      </c>
      <c r="C5" s="46" t="s">
        <v>92</v>
      </c>
      <c r="D5" s="53" t="s">
        <v>97</v>
      </c>
      <c r="E5" s="55" t="s">
        <v>94</v>
      </c>
      <c r="F5" s="46" t="s">
        <v>107</v>
      </c>
    </row>
    <row r="6" spans="1:6">
      <c r="A6" s="49" t="s">
        <v>373</v>
      </c>
      <c r="B6" s="32" t="s">
        <v>306</v>
      </c>
      <c r="C6" s="46" t="s">
        <v>81</v>
      </c>
      <c r="D6" s="53" t="s">
        <v>98</v>
      </c>
      <c r="E6" s="53" t="s">
        <v>95</v>
      </c>
      <c r="F6" s="46" t="s">
        <v>105</v>
      </c>
    </row>
    <row r="7" spans="1:6">
      <c r="A7" s="49"/>
      <c r="B7" s="52" t="s">
        <v>307</v>
      </c>
      <c r="C7" s="46"/>
      <c r="D7" s="53" t="s">
        <v>100</v>
      </c>
      <c r="E7" s="53" t="s">
        <v>632</v>
      </c>
      <c r="F7" s="48"/>
    </row>
    <row r="8" spans="1:6">
      <c r="A8" s="49"/>
      <c r="B8" s="54"/>
      <c r="C8" s="53"/>
      <c r="D8" s="53" t="s">
        <v>101</v>
      </c>
      <c r="E8" s="53" t="s">
        <v>669</v>
      </c>
      <c r="F8" s="48"/>
    </row>
    <row r="9" spans="1:6">
      <c r="A9" s="49"/>
      <c r="B9" s="32"/>
      <c r="C9" s="53"/>
      <c r="D9" s="228">
        <v>32.1</v>
      </c>
      <c r="E9" s="46"/>
      <c r="F9" s="48"/>
    </row>
    <row r="10" spans="1:6">
      <c r="A10" s="102"/>
      <c r="B10" s="103"/>
      <c r="C10" s="104"/>
      <c r="D10" s="231">
        <v>67.900000000000006</v>
      </c>
      <c r="E10" s="278" t="s">
        <v>657</v>
      </c>
      <c r="F10" s="123" t="s">
        <v>657</v>
      </c>
    </row>
    <row r="11" spans="1:6" ht="14.25">
      <c r="A11" s="57"/>
      <c r="B11" s="93" t="s">
        <v>127</v>
      </c>
      <c r="C11" s="76"/>
      <c r="D11" s="47"/>
      <c r="E11" s="243"/>
      <c r="F11" s="127"/>
    </row>
    <row r="12" spans="1:6" ht="14.25">
      <c r="A12" s="49"/>
      <c r="B12" s="68" t="s">
        <v>128</v>
      </c>
      <c r="C12" s="46"/>
      <c r="D12" s="47"/>
      <c r="E12" s="243"/>
      <c r="F12" s="127">
        <f>F14+F17+F21+F36+F43+F47+F53+F59+F62+F65+F71</f>
        <v>1896.8933371190478</v>
      </c>
    </row>
    <row r="13" spans="1:6" ht="14.25">
      <c r="A13" s="49"/>
      <c r="B13" s="35"/>
      <c r="C13" s="46"/>
      <c r="D13" s="47"/>
      <c r="E13" s="243"/>
      <c r="F13" s="127"/>
    </row>
    <row r="14" spans="1:6" ht="14.25">
      <c r="A14" s="57">
        <v>1</v>
      </c>
      <c r="B14" s="93" t="s">
        <v>10</v>
      </c>
      <c r="C14" s="166"/>
      <c r="D14" s="256"/>
      <c r="E14" s="257"/>
      <c r="F14" s="127">
        <f>F15+F16</f>
        <v>122.45480400000002</v>
      </c>
    </row>
    <row r="15" spans="1:6">
      <c r="A15" s="49" t="s">
        <v>424</v>
      </c>
      <c r="B15" s="248" t="s">
        <v>297</v>
      </c>
      <c r="C15" s="76" t="s">
        <v>88</v>
      </c>
      <c r="D15" s="237">
        <f>1/5*$D$9/100</f>
        <v>6.4200000000000007E-2</v>
      </c>
      <c r="E15" s="62">
        <v>833.37</v>
      </c>
      <c r="F15" s="62">
        <f>E15*D15</f>
        <v>53.502354000000004</v>
      </c>
    </row>
    <row r="16" spans="1:6">
      <c r="A16" s="49" t="s">
        <v>425</v>
      </c>
      <c r="B16" s="248" t="s">
        <v>594</v>
      </c>
      <c r="C16" s="76" t="s">
        <v>88</v>
      </c>
      <c r="D16" s="237">
        <f>1/10*$D$10/100</f>
        <v>6.7900000000000016E-2</v>
      </c>
      <c r="E16" s="62">
        <v>1015.5</v>
      </c>
      <c r="F16" s="62">
        <f>E16*D16</f>
        <v>68.952450000000013</v>
      </c>
    </row>
    <row r="17" spans="1:6" ht="14.25">
      <c r="A17" s="57" t="s">
        <v>435</v>
      </c>
      <c r="B17" s="93" t="s">
        <v>578</v>
      </c>
      <c r="C17" s="166"/>
      <c r="D17" s="256"/>
      <c r="E17" s="62"/>
      <c r="F17" s="127">
        <f>SUM(F18:F20)</f>
        <v>279.74044250000003</v>
      </c>
    </row>
    <row r="18" spans="1:6">
      <c r="A18" s="49" t="s">
        <v>494</v>
      </c>
      <c r="B18" s="248" t="s">
        <v>587</v>
      </c>
      <c r="C18" s="76" t="s">
        <v>88</v>
      </c>
      <c r="D18" s="237">
        <f>1/8*$D$10/100</f>
        <v>8.4875000000000006E-2</v>
      </c>
      <c r="E18" s="62">
        <v>2304.64</v>
      </c>
      <c r="F18" s="62">
        <f>E18*D18</f>
        <v>195.60632000000001</v>
      </c>
    </row>
    <row r="19" spans="1:6">
      <c r="A19" s="49" t="s">
        <v>495</v>
      </c>
      <c r="B19" s="248" t="s">
        <v>71</v>
      </c>
      <c r="C19" s="76" t="s">
        <v>88</v>
      </c>
      <c r="D19" s="237">
        <f>1/8*$D$9/100</f>
        <v>4.0125000000000001E-2</v>
      </c>
      <c r="E19" s="62">
        <v>721.54</v>
      </c>
      <c r="F19" s="62">
        <f>E19*D19</f>
        <v>28.9517925</v>
      </c>
    </row>
    <row r="20" spans="1:6">
      <c r="A20" s="49" t="s">
        <v>496</v>
      </c>
      <c r="B20" s="248" t="s">
        <v>72</v>
      </c>
      <c r="C20" s="76" t="s">
        <v>88</v>
      </c>
      <c r="D20" s="237">
        <f>1/8*$D$10/100</f>
        <v>8.4875000000000006E-2</v>
      </c>
      <c r="E20" s="62">
        <v>650.16</v>
      </c>
      <c r="F20" s="62">
        <f>E20*D20</f>
        <v>55.18233</v>
      </c>
    </row>
    <row r="21" spans="1:6" ht="14.25">
      <c r="A21" s="57" t="s">
        <v>436</v>
      </c>
      <c r="B21" s="93" t="s">
        <v>20</v>
      </c>
      <c r="C21" s="166"/>
      <c r="D21" s="256"/>
      <c r="E21" s="62"/>
      <c r="F21" s="127">
        <f>F22+F23+F24+F25+F27+F28+F29+F30+F31+F32+F33+F34+F35</f>
        <v>586.564867809524</v>
      </c>
    </row>
    <row r="22" spans="1:6">
      <c r="A22" s="49" t="s">
        <v>478</v>
      </c>
      <c r="B22" s="248" t="s">
        <v>225</v>
      </c>
      <c r="C22" s="76" t="s">
        <v>88</v>
      </c>
      <c r="D22" s="237">
        <f>1/7*$D$9/100</f>
        <v>4.5857142857142853E-2</v>
      </c>
      <c r="E22" s="62">
        <v>1246.93</v>
      </c>
      <c r="F22" s="62">
        <f>E22*D22</f>
        <v>57.18064714285714</v>
      </c>
    </row>
    <row r="23" spans="1:6">
      <c r="A23" s="49" t="s">
        <v>479</v>
      </c>
      <c r="B23" s="248" t="s">
        <v>606</v>
      </c>
      <c r="C23" s="76" t="s">
        <v>88</v>
      </c>
      <c r="D23" s="237">
        <f>3/5*$D$9/100</f>
        <v>0.19260000000000002</v>
      </c>
      <c r="E23" s="62">
        <v>213.21</v>
      </c>
      <c r="F23" s="62">
        <f>E23*D23</f>
        <v>41.064246000000004</v>
      </c>
    </row>
    <row r="24" spans="1:6">
      <c r="A24" s="49" t="s">
        <v>480</v>
      </c>
      <c r="B24" s="248" t="s">
        <v>73</v>
      </c>
      <c r="C24" s="76" t="s">
        <v>88</v>
      </c>
      <c r="D24" s="237">
        <f>1/5*$D$9/100</f>
        <v>6.4200000000000007E-2</v>
      </c>
      <c r="E24" s="62">
        <v>332.54</v>
      </c>
      <c r="F24" s="62">
        <f>E24*D24</f>
        <v>21.349068000000003</v>
      </c>
    </row>
    <row r="25" spans="1:6">
      <c r="A25" s="49" t="s">
        <v>481</v>
      </c>
      <c r="B25" s="248" t="s">
        <v>336</v>
      </c>
      <c r="C25" s="76" t="s">
        <v>88</v>
      </c>
      <c r="D25" s="237">
        <f>1/5*$D$9/100</f>
        <v>6.4200000000000007E-2</v>
      </c>
      <c r="E25" s="62">
        <v>893.27</v>
      </c>
      <c r="F25" s="62">
        <f>E25*D25</f>
        <v>57.347934000000002</v>
      </c>
    </row>
    <row r="26" spans="1:6">
      <c r="A26" s="49"/>
      <c r="B26" s="248" t="s">
        <v>337</v>
      </c>
      <c r="C26" s="76"/>
      <c r="D26" s="237"/>
      <c r="E26" s="62"/>
      <c r="F26" s="62"/>
    </row>
    <row r="27" spans="1:6">
      <c r="A27" s="49" t="s">
        <v>482</v>
      </c>
      <c r="B27" s="248" t="s">
        <v>649</v>
      </c>
      <c r="C27" s="76" t="s">
        <v>88</v>
      </c>
      <c r="D27" s="237">
        <f>1/6*$D$9/100</f>
        <v>5.3499999999999999E-2</v>
      </c>
      <c r="E27" s="62">
        <v>294.16000000000003</v>
      </c>
      <c r="F27" s="62">
        <f t="shared" ref="F27:F33" si="0">E27*D27</f>
        <v>15.73756</v>
      </c>
    </row>
    <row r="28" spans="1:6">
      <c r="A28" s="49" t="s">
        <v>483</v>
      </c>
      <c r="B28" s="248" t="s">
        <v>646</v>
      </c>
      <c r="C28" s="76" t="s">
        <v>88</v>
      </c>
      <c r="D28" s="237">
        <f>1/6*$D$10/100</f>
        <v>0.11316666666666667</v>
      </c>
      <c r="E28" s="62">
        <v>259.66000000000003</v>
      </c>
      <c r="F28" s="62">
        <f t="shared" si="0"/>
        <v>29.384856666666668</v>
      </c>
    </row>
    <row r="29" spans="1:6">
      <c r="A29" s="49" t="s">
        <v>500</v>
      </c>
      <c r="B29" s="248" t="s">
        <v>74</v>
      </c>
      <c r="C29" s="76" t="s">
        <v>88</v>
      </c>
      <c r="D29" s="237">
        <f>1/6*$D$10/100</f>
        <v>0.11316666666666667</v>
      </c>
      <c r="E29" s="62">
        <v>426.93</v>
      </c>
      <c r="F29" s="62">
        <f t="shared" si="0"/>
        <v>48.314245</v>
      </c>
    </row>
    <row r="30" spans="1:6">
      <c r="A30" s="49" t="s">
        <v>501</v>
      </c>
      <c r="B30" s="248" t="s">
        <v>75</v>
      </c>
      <c r="C30" s="76" t="s">
        <v>88</v>
      </c>
      <c r="D30" s="237">
        <f>1/2*$D$10/100</f>
        <v>0.33950000000000002</v>
      </c>
      <c r="E30" s="62">
        <v>187.46</v>
      </c>
      <c r="F30" s="62">
        <f t="shared" si="0"/>
        <v>63.64267000000001</v>
      </c>
    </row>
    <row r="31" spans="1:6">
      <c r="A31" s="49" t="s">
        <v>528</v>
      </c>
      <c r="B31" s="248" t="s">
        <v>76</v>
      </c>
      <c r="C31" s="76" t="s">
        <v>88</v>
      </c>
      <c r="D31" s="237">
        <f>2/5*$D$10/100</f>
        <v>0.27160000000000006</v>
      </c>
      <c r="E31" s="62">
        <v>187.46</v>
      </c>
      <c r="F31" s="62">
        <f t="shared" si="0"/>
        <v>50.914136000000013</v>
      </c>
    </row>
    <row r="32" spans="1:6">
      <c r="A32" s="49" t="s">
        <v>529</v>
      </c>
      <c r="B32" s="248" t="s">
        <v>341</v>
      </c>
      <c r="C32" s="76" t="s">
        <v>88</v>
      </c>
      <c r="D32" s="237">
        <f>2/6*$D$10/100</f>
        <v>0.22633333333333333</v>
      </c>
      <c r="E32" s="62">
        <v>238.55</v>
      </c>
      <c r="F32" s="62">
        <f t="shared" si="0"/>
        <v>53.991816666666672</v>
      </c>
    </row>
    <row r="33" spans="1:6">
      <c r="A33" s="49" t="s">
        <v>530</v>
      </c>
      <c r="B33" s="248" t="s">
        <v>296</v>
      </c>
      <c r="C33" s="76" t="s">
        <v>88</v>
      </c>
      <c r="D33" s="237">
        <f>1/6*$D$10/100</f>
        <v>0.11316666666666667</v>
      </c>
      <c r="E33" s="62">
        <v>290.3</v>
      </c>
      <c r="F33" s="62">
        <f t="shared" si="0"/>
        <v>32.852283333333332</v>
      </c>
    </row>
    <row r="34" spans="1:6">
      <c r="A34" s="49" t="s">
        <v>648</v>
      </c>
      <c r="B34" s="248" t="s">
        <v>651</v>
      </c>
      <c r="C34" s="76" t="s">
        <v>88</v>
      </c>
      <c r="D34" s="237">
        <f>1/4*$D$9/100</f>
        <v>8.0250000000000002E-2</v>
      </c>
      <c r="E34" s="62">
        <v>459.97</v>
      </c>
      <c r="F34" s="136">
        <f>E34*D34</f>
        <v>36.912592500000002</v>
      </c>
    </row>
    <row r="35" spans="1:6">
      <c r="A35" s="49" t="s">
        <v>647</v>
      </c>
      <c r="B35" s="248" t="s">
        <v>655</v>
      </c>
      <c r="C35" s="76" t="s">
        <v>88</v>
      </c>
      <c r="D35" s="237">
        <f>1/4*$D$10/100</f>
        <v>0.16975000000000001</v>
      </c>
      <c r="E35" s="62">
        <v>458.75</v>
      </c>
      <c r="F35" s="136">
        <f>E35*D35</f>
        <v>77.872812500000009</v>
      </c>
    </row>
    <row r="36" spans="1:6" ht="14.25">
      <c r="A36" s="57" t="s">
        <v>437</v>
      </c>
      <c r="B36" s="93" t="s">
        <v>12</v>
      </c>
      <c r="C36" s="166"/>
      <c r="D36" s="256"/>
      <c r="E36" s="62"/>
      <c r="F36" s="127">
        <f>F37+F38+F39+F40+F41+F42</f>
        <v>227.798135</v>
      </c>
    </row>
    <row r="37" spans="1:6">
      <c r="A37" s="49" t="s">
        <v>438</v>
      </c>
      <c r="B37" s="248" t="s">
        <v>77</v>
      </c>
      <c r="C37" s="76" t="s">
        <v>88</v>
      </c>
      <c r="D37" s="237">
        <f>4/2*$D$9/100</f>
        <v>0.64200000000000002</v>
      </c>
      <c r="E37" s="62">
        <v>45.68</v>
      </c>
      <c r="F37" s="62">
        <f t="shared" ref="F37:F42" si="1">E37*D37</f>
        <v>29.326560000000001</v>
      </c>
    </row>
    <row r="38" spans="1:6">
      <c r="A38" s="49" t="s">
        <v>439</v>
      </c>
      <c r="B38" s="248" t="s">
        <v>588</v>
      </c>
      <c r="C38" s="76" t="s">
        <v>88</v>
      </c>
      <c r="D38" s="47">
        <f>2/1*$D$9/100</f>
        <v>0.64200000000000002</v>
      </c>
      <c r="E38" s="62">
        <v>59.37</v>
      </c>
      <c r="F38" s="62">
        <f t="shared" si="1"/>
        <v>38.115539999999996</v>
      </c>
    </row>
    <row r="39" spans="1:6">
      <c r="A39" s="49" t="s">
        <v>440</v>
      </c>
      <c r="B39" s="248" t="s">
        <v>78</v>
      </c>
      <c r="C39" s="76" t="s">
        <v>88</v>
      </c>
      <c r="D39" s="237">
        <f>5/3*$D$10/100</f>
        <v>1.1316666666666668</v>
      </c>
      <c r="E39" s="62">
        <v>36.5</v>
      </c>
      <c r="F39" s="62">
        <f t="shared" si="1"/>
        <v>41.305833333333339</v>
      </c>
    </row>
    <row r="40" spans="1:6">
      <c r="A40" s="49" t="s">
        <v>441</v>
      </c>
      <c r="B40" s="248" t="s">
        <v>22</v>
      </c>
      <c r="C40" s="76" t="s">
        <v>88</v>
      </c>
      <c r="D40" s="237">
        <f>2/4*$D$10/100</f>
        <v>0.33950000000000002</v>
      </c>
      <c r="E40" s="62">
        <v>111.7</v>
      </c>
      <c r="F40" s="62">
        <f t="shared" si="1"/>
        <v>37.922150000000002</v>
      </c>
    </row>
    <row r="41" spans="1:6">
      <c r="A41" s="49" t="s">
        <v>442</v>
      </c>
      <c r="B41" s="248" t="s">
        <v>30</v>
      </c>
      <c r="C41" s="76" t="s">
        <v>88</v>
      </c>
      <c r="D41" s="237">
        <f>2/3*$D$10/100</f>
        <v>0.45266666666666666</v>
      </c>
      <c r="E41" s="62">
        <v>117.34</v>
      </c>
      <c r="F41" s="62">
        <f t="shared" si="1"/>
        <v>53.115906666666667</v>
      </c>
    </row>
    <row r="42" spans="1:6">
      <c r="A42" s="49" t="s">
        <v>443</v>
      </c>
      <c r="B42" s="248" t="s">
        <v>21</v>
      </c>
      <c r="C42" s="76" t="s">
        <v>88</v>
      </c>
      <c r="D42" s="237">
        <f>2/4*$D$10/100</f>
        <v>0.33950000000000002</v>
      </c>
      <c r="E42" s="62">
        <v>82.51</v>
      </c>
      <c r="F42" s="62">
        <f t="shared" si="1"/>
        <v>28.012145000000004</v>
      </c>
    </row>
    <row r="43" spans="1:6" ht="14.25">
      <c r="A43" s="57" t="s">
        <v>445</v>
      </c>
      <c r="B43" s="93" t="s">
        <v>14</v>
      </c>
      <c r="C43" s="166"/>
      <c r="D43" s="256"/>
      <c r="E43" s="62"/>
      <c r="F43" s="127">
        <f>F44+F45+F46</f>
        <v>121.67480833333333</v>
      </c>
    </row>
    <row r="44" spans="1:6">
      <c r="A44" s="49" t="s">
        <v>446</v>
      </c>
      <c r="B44" s="248" t="s">
        <v>27</v>
      </c>
      <c r="C44" s="76" t="s">
        <v>88</v>
      </c>
      <c r="D44" s="237">
        <f>5/2*$D$9/100</f>
        <v>0.80249999999999999</v>
      </c>
      <c r="E44" s="62">
        <v>28.61</v>
      </c>
      <c r="F44" s="62">
        <f>E44*D44</f>
        <v>22.959524999999999</v>
      </c>
    </row>
    <row r="45" spans="1:6">
      <c r="A45" s="49" t="s">
        <v>447</v>
      </c>
      <c r="B45" s="248" t="s">
        <v>25</v>
      </c>
      <c r="C45" s="76" t="s">
        <v>88</v>
      </c>
      <c r="D45" s="237">
        <f>4/2*$D$10/100</f>
        <v>1.3580000000000001</v>
      </c>
      <c r="E45" s="62">
        <v>57.3</v>
      </c>
      <c r="F45" s="62">
        <f>E45*D45</f>
        <v>77.813400000000001</v>
      </c>
    </row>
    <row r="46" spans="1:6">
      <c r="A46" s="49" t="s">
        <v>448</v>
      </c>
      <c r="B46" s="248" t="s">
        <v>227</v>
      </c>
      <c r="C46" s="76" t="s">
        <v>88</v>
      </c>
      <c r="D46" s="237">
        <f>1/3*$D$10/100</f>
        <v>0.22633333333333333</v>
      </c>
      <c r="E46" s="62">
        <v>92.35</v>
      </c>
      <c r="F46" s="62">
        <f>E46*D46</f>
        <v>20.90188333333333</v>
      </c>
    </row>
    <row r="47" spans="1:6" ht="14.25">
      <c r="A47" s="57" t="s">
        <v>452</v>
      </c>
      <c r="B47" s="93" t="s">
        <v>15</v>
      </c>
      <c r="C47" s="166"/>
      <c r="D47" s="256"/>
      <c r="E47" s="62"/>
      <c r="F47" s="127">
        <f>F48+F49+F51+F52</f>
        <v>51.387233142857148</v>
      </c>
    </row>
    <row r="48" spans="1:6">
      <c r="A48" s="49" t="s">
        <v>513</v>
      </c>
      <c r="B48" s="248" t="s">
        <v>339</v>
      </c>
      <c r="C48" s="76" t="s">
        <v>88</v>
      </c>
      <c r="D48" s="237">
        <f>1/7*$D$9/100</f>
        <v>4.5857142857142853E-2</v>
      </c>
      <c r="E48" s="62">
        <v>123.5</v>
      </c>
      <c r="F48" s="62">
        <f>E48*D48</f>
        <v>5.6633571428571425</v>
      </c>
    </row>
    <row r="49" spans="1:6">
      <c r="A49" s="49" t="s">
        <v>514</v>
      </c>
      <c r="B49" s="248" t="s">
        <v>210</v>
      </c>
      <c r="C49" s="76" t="s">
        <v>211</v>
      </c>
      <c r="D49" s="237">
        <f>(1/6*$D$9+1/5*$D$10)/100</f>
        <v>0.1893</v>
      </c>
      <c r="E49" s="62">
        <v>181.82</v>
      </c>
      <c r="F49" s="62">
        <f>E49*D49</f>
        <v>34.418526</v>
      </c>
    </row>
    <row r="50" spans="1:6">
      <c r="A50" s="49"/>
      <c r="B50" s="248" t="s">
        <v>212</v>
      </c>
      <c r="C50" s="76"/>
      <c r="D50" s="237"/>
      <c r="E50" s="62"/>
      <c r="F50" s="62"/>
    </row>
    <row r="51" spans="1:6">
      <c r="A51" s="49" t="s">
        <v>515</v>
      </c>
      <c r="B51" s="248" t="s">
        <v>228</v>
      </c>
      <c r="C51" s="76" t="s">
        <v>88</v>
      </c>
      <c r="D51" s="237">
        <f>1/4*$D$10/100</f>
        <v>0.16975000000000001</v>
      </c>
      <c r="E51" s="62">
        <v>42.51</v>
      </c>
      <c r="F51" s="62">
        <f>E51*D51</f>
        <v>7.2160725000000001</v>
      </c>
    </row>
    <row r="52" spans="1:6">
      <c r="A52" s="49" t="s">
        <v>516</v>
      </c>
      <c r="B52" s="248" t="s">
        <v>229</v>
      </c>
      <c r="C52" s="76" t="s">
        <v>88</v>
      </c>
      <c r="D52" s="237">
        <f>1/4*$D$10/100</f>
        <v>0.16975000000000001</v>
      </c>
      <c r="E52" s="62">
        <v>24.09</v>
      </c>
      <c r="F52" s="62">
        <f>E52*D52</f>
        <v>4.0892775000000006</v>
      </c>
    </row>
    <row r="53" spans="1:6" ht="14.25">
      <c r="A53" s="57" t="s">
        <v>453</v>
      </c>
      <c r="B53" s="93" t="s">
        <v>16</v>
      </c>
      <c r="C53" s="166"/>
      <c r="D53" s="256"/>
      <c r="E53" s="62"/>
      <c r="F53" s="127">
        <f>F54+F56+F57+F58</f>
        <v>46.691787999999995</v>
      </c>
    </row>
    <row r="54" spans="1:6">
      <c r="A54" s="49" t="s">
        <v>454</v>
      </c>
      <c r="B54" s="248" t="s">
        <v>230</v>
      </c>
      <c r="C54" s="76" t="s">
        <v>88</v>
      </c>
      <c r="D54" s="237">
        <f>(1/4*$D$9+1/4*$D$10)/100</f>
        <v>0.25</v>
      </c>
      <c r="E54" s="62">
        <v>43.01</v>
      </c>
      <c r="F54" s="62">
        <f>E54*D54</f>
        <v>10.7525</v>
      </c>
    </row>
    <row r="55" spans="1:6">
      <c r="A55" s="49"/>
      <c r="B55" s="248" t="s">
        <v>212</v>
      </c>
      <c r="C55" s="76"/>
      <c r="D55" s="237"/>
      <c r="E55" s="62"/>
      <c r="F55" s="62"/>
    </row>
    <row r="56" spans="1:6">
      <c r="A56" s="49" t="s">
        <v>455</v>
      </c>
      <c r="B56" s="248" t="s">
        <v>231</v>
      </c>
      <c r="C56" s="76" t="s">
        <v>88</v>
      </c>
      <c r="D56" s="237">
        <f>1/10*$D$9/100</f>
        <v>3.2100000000000004E-2</v>
      </c>
      <c r="E56" s="62">
        <v>76.95</v>
      </c>
      <c r="F56" s="62">
        <f>E56*D56</f>
        <v>2.4700950000000002</v>
      </c>
    </row>
    <row r="57" spans="1:6">
      <c r="A57" s="49" t="s">
        <v>456</v>
      </c>
      <c r="B57" s="248" t="s">
        <v>232</v>
      </c>
      <c r="C57" s="76" t="s">
        <v>88</v>
      </c>
      <c r="D57" s="237">
        <f>1/6*$D$9/100</f>
        <v>5.3499999999999999E-2</v>
      </c>
      <c r="E57" s="62">
        <v>424.19</v>
      </c>
      <c r="F57" s="62">
        <f>E57*D57</f>
        <v>22.694164999999998</v>
      </c>
    </row>
    <row r="58" spans="1:6">
      <c r="A58" s="49" t="s">
        <v>457</v>
      </c>
      <c r="B58" s="248" t="s">
        <v>589</v>
      </c>
      <c r="C58" s="76"/>
      <c r="D58" s="237"/>
      <c r="E58" s="62"/>
      <c r="F58" s="62">
        <f>(F54+F56+F57)*0.3</f>
        <v>10.775027999999999</v>
      </c>
    </row>
    <row r="59" spans="1:6" s="6" customFormat="1" ht="14.25">
      <c r="A59" s="57" t="s">
        <v>458</v>
      </c>
      <c r="B59" s="93" t="s">
        <v>17</v>
      </c>
      <c r="C59" s="166"/>
      <c r="D59" s="256"/>
      <c r="E59" s="62"/>
      <c r="F59" s="127">
        <f>F60+F61</f>
        <v>92.15796499999999</v>
      </c>
    </row>
    <row r="60" spans="1:6">
      <c r="A60" s="49" t="s">
        <v>459</v>
      </c>
      <c r="B60" s="248" t="s">
        <v>607</v>
      </c>
      <c r="C60" s="76" t="s">
        <v>335</v>
      </c>
      <c r="D60" s="237">
        <f>1/6*$D$9/100</f>
        <v>5.3499999999999999E-2</v>
      </c>
      <c r="E60" s="62">
        <v>560.41</v>
      </c>
      <c r="F60" s="62">
        <f>E60*D60</f>
        <v>29.981934999999996</v>
      </c>
    </row>
    <row r="61" spans="1:6">
      <c r="A61" s="49" t="s">
        <v>460</v>
      </c>
      <c r="B61" s="248" t="s">
        <v>590</v>
      </c>
      <c r="C61" s="76" t="s">
        <v>335</v>
      </c>
      <c r="D61" s="237">
        <f>1/6*$D$10/100</f>
        <v>0.11316666666666667</v>
      </c>
      <c r="E61" s="62">
        <v>549.41999999999996</v>
      </c>
      <c r="F61" s="62">
        <f>E61*D61</f>
        <v>62.176029999999997</v>
      </c>
    </row>
    <row r="62" spans="1:6" ht="14.25">
      <c r="A62" s="57" t="s">
        <v>465</v>
      </c>
      <c r="B62" s="93" t="s">
        <v>18</v>
      </c>
      <c r="C62" s="76" t="s">
        <v>335</v>
      </c>
      <c r="D62" s="256"/>
      <c r="E62" s="62"/>
      <c r="F62" s="127">
        <f>F63+F64</f>
        <v>97.813174000000004</v>
      </c>
    </row>
    <row r="63" spans="1:6">
      <c r="A63" s="49" t="s">
        <v>486</v>
      </c>
      <c r="B63" s="248" t="s">
        <v>213</v>
      </c>
      <c r="C63" s="76" t="s">
        <v>335</v>
      </c>
      <c r="D63" s="237">
        <f>1/5*$D$9/100</f>
        <v>6.4200000000000007E-2</v>
      </c>
      <c r="E63" s="62">
        <v>451.07</v>
      </c>
      <c r="F63" s="62">
        <f>E63*D63</f>
        <v>28.958694000000001</v>
      </c>
    </row>
    <row r="64" spans="1:6">
      <c r="A64" s="49" t="s">
        <v>487</v>
      </c>
      <c r="B64" s="248" t="s">
        <v>591</v>
      </c>
      <c r="C64" s="76" t="s">
        <v>335</v>
      </c>
      <c r="D64" s="237">
        <f>1/3.5*$D$10/100</f>
        <v>0.19400000000000003</v>
      </c>
      <c r="E64" s="62">
        <v>354.92</v>
      </c>
      <c r="F64" s="62">
        <f>E64*D64</f>
        <v>68.854480000000009</v>
      </c>
    </row>
    <row r="65" spans="1:6" ht="14.25">
      <c r="A65" s="57" t="s">
        <v>466</v>
      </c>
      <c r="B65" s="93" t="s">
        <v>644</v>
      </c>
      <c r="C65" s="76"/>
      <c r="D65" s="256"/>
      <c r="E65" s="62"/>
      <c r="F65" s="127">
        <f>F66+F67+F68+F69+F70</f>
        <v>199.52662333333336</v>
      </c>
    </row>
    <row r="66" spans="1:6">
      <c r="A66" s="49" t="s">
        <v>467</v>
      </c>
      <c r="B66" s="248" t="s">
        <v>28</v>
      </c>
      <c r="C66" s="76" t="s">
        <v>335</v>
      </c>
      <c r="D66" s="237">
        <f>1/3*$D$9/100</f>
        <v>0.107</v>
      </c>
      <c r="E66" s="62">
        <v>389.11</v>
      </c>
      <c r="F66" s="62">
        <f t="shared" ref="F66:F71" si="2">E66*D66</f>
        <v>41.634770000000003</v>
      </c>
    </row>
    <row r="67" spans="1:6">
      <c r="A67" s="49" t="s">
        <v>468</v>
      </c>
      <c r="B67" s="248" t="s">
        <v>340</v>
      </c>
      <c r="C67" s="76" t="s">
        <v>335</v>
      </c>
      <c r="D67" s="237">
        <f>1/5*$D$9/100</f>
        <v>6.4200000000000007E-2</v>
      </c>
      <c r="E67" s="62">
        <v>398.23</v>
      </c>
      <c r="F67" s="62">
        <f t="shared" si="2"/>
        <v>25.566366000000006</v>
      </c>
    </row>
    <row r="68" spans="1:6">
      <c r="A68" s="49" t="s">
        <v>489</v>
      </c>
      <c r="B68" s="248" t="s">
        <v>595</v>
      </c>
      <c r="C68" s="128" t="s">
        <v>335</v>
      </c>
      <c r="D68" s="237">
        <f>1/2.5*$D$10/100</f>
        <v>0.27160000000000006</v>
      </c>
      <c r="E68" s="62">
        <v>303.44</v>
      </c>
      <c r="F68" s="62">
        <f t="shared" si="2"/>
        <v>82.414304000000016</v>
      </c>
    </row>
    <row r="69" spans="1:6" s="14" customFormat="1" ht="15">
      <c r="A69" s="49" t="s">
        <v>490</v>
      </c>
      <c r="B69" s="248" t="s">
        <v>652</v>
      </c>
      <c r="C69" s="76" t="s">
        <v>335</v>
      </c>
      <c r="D69" s="249">
        <f>1/3*$D$10/100</f>
        <v>0.22633333333333333</v>
      </c>
      <c r="E69" s="62">
        <v>147.31</v>
      </c>
      <c r="F69" s="127">
        <f t="shared" si="2"/>
        <v>33.341163333333334</v>
      </c>
    </row>
    <row r="70" spans="1:6" s="14" customFormat="1" ht="15">
      <c r="A70" s="49" t="s">
        <v>491</v>
      </c>
      <c r="B70" s="248" t="s">
        <v>653</v>
      </c>
      <c r="C70" s="76" t="s">
        <v>335</v>
      </c>
      <c r="D70" s="249">
        <f>1/3*$D$9/100</f>
        <v>0.107</v>
      </c>
      <c r="E70" s="62">
        <v>154.86000000000001</v>
      </c>
      <c r="F70" s="127">
        <f t="shared" si="2"/>
        <v>16.57002</v>
      </c>
    </row>
    <row r="71" spans="1:6" s="14" customFormat="1" ht="15">
      <c r="A71" s="57" t="s">
        <v>470</v>
      </c>
      <c r="B71" s="93" t="s">
        <v>256</v>
      </c>
      <c r="C71" s="76" t="s">
        <v>335</v>
      </c>
      <c r="D71" s="258">
        <f>(1/5*$D$9+1/2*$D$10)/100</f>
        <v>0.40370000000000006</v>
      </c>
      <c r="E71" s="99">
        <v>176.08</v>
      </c>
      <c r="F71" s="127">
        <f t="shared" si="2"/>
        <v>71.083496000000011</v>
      </c>
    </row>
    <row r="72" spans="1:6" s="14" customFormat="1" ht="15">
      <c r="A72" s="170"/>
      <c r="B72" s="217" t="s">
        <v>338</v>
      </c>
      <c r="C72" s="217"/>
      <c r="D72" s="138"/>
      <c r="E72" s="61"/>
      <c r="F72" s="219">
        <f>загальнос!$F$82</f>
        <v>2396.9836791015505</v>
      </c>
    </row>
    <row r="73" spans="1:6" ht="15">
      <c r="A73" s="96" t="s">
        <v>374</v>
      </c>
      <c r="B73" s="252"/>
      <c r="C73" s="213"/>
      <c r="D73" s="60"/>
      <c r="E73" s="61"/>
      <c r="F73" s="172">
        <f>F12+F72</f>
        <v>4293.8770162205983</v>
      </c>
    </row>
    <row r="74" spans="1:6" ht="15.75">
      <c r="A74" s="259" t="s">
        <v>375</v>
      </c>
      <c r="B74" s="103"/>
      <c r="C74" s="74"/>
      <c r="D74" s="90"/>
      <c r="E74" s="260"/>
      <c r="F74" s="75">
        <f>F73/12</f>
        <v>357.82308468504988</v>
      </c>
    </row>
  </sheetData>
  <mergeCells count="2">
    <mergeCell ref="A3:F3"/>
    <mergeCell ref="A4:F4"/>
  </mergeCells>
  <phoneticPr fontId="29" type="noConversion"/>
  <pageMargins left="0.94" right="0.31" top="0.7" bottom="0.93" header="0.41" footer="0.67"/>
  <pageSetup paperSize="9" orientation="portrait" horizontalDpi="360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4"/>
  <sheetViews>
    <sheetView topLeftCell="A4" zoomScale="75" workbookViewId="0">
      <selection activeCell="E6" sqref="E6"/>
    </sheetView>
  </sheetViews>
  <sheetFormatPr defaultRowHeight="12.75"/>
  <cols>
    <col min="1" max="1" width="4.5703125" style="23" customWidth="1"/>
    <col min="2" max="2" width="28.7109375" customWidth="1"/>
    <col min="3" max="3" width="13.28515625" style="3" bestFit="1" customWidth="1"/>
    <col min="4" max="4" width="9.85546875" style="3" customWidth="1"/>
    <col min="5" max="5" width="9.5703125" style="3" customWidth="1"/>
    <col min="6" max="6" width="13.5703125" style="3" customWidth="1"/>
    <col min="7" max="7" width="13.85546875" bestFit="1" customWidth="1"/>
  </cols>
  <sheetData>
    <row r="1" spans="1:16" ht="14.25">
      <c r="A1" s="350" t="s">
        <v>318</v>
      </c>
      <c r="B1" s="350"/>
      <c r="C1" s="350"/>
      <c r="D1" s="350"/>
      <c r="E1" s="350"/>
      <c r="F1" s="350"/>
    </row>
    <row r="2" spans="1:16" ht="14.25">
      <c r="A2" s="350" t="s">
        <v>319</v>
      </c>
      <c r="B2" s="350"/>
      <c r="C2" s="350"/>
      <c r="D2" s="350"/>
      <c r="E2" s="350"/>
      <c r="F2" s="350"/>
    </row>
    <row r="3" spans="1:16">
      <c r="A3" s="108"/>
      <c r="B3" s="35"/>
      <c r="C3" s="36"/>
      <c r="D3" s="36"/>
      <c r="E3" s="36"/>
      <c r="F3" s="36"/>
    </row>
    <row r="4" spans="1:16">
      <c r="A4" s="148" t="s">
        <v>8</v>
      </c>
      <c r="B4" s="33"/>
      <c r="C4" s="149" t="s">
        <v>9</v>
      </c>
      <c r="D4" s="43" t="s">
        <v>182</v>
      </c>
      <c r="E4" s="43" t="s">
        <v>600</v>
      </c>
      <c r="F4" s="43" t="s">
        <v>106</v>
      </c>
    </row>
    <row r="5" spans="1:16">
      <c r="A5" s="91" t="s">
        <v>373</v>
      </c>
      <c r="B5" s="54"/>
      <c r="C5" s="45" t="s">
        <v>180</v>
      </c>
      <c r="D5" s="48" t="s">
        <v>183</v>
      </c>
      <c r="E5" s="48" t="s">
        <v>621</v>
      </c>
      <c r="F5" s="48" t="s">
        <v>105</v>
      </c>
    </row>
    <row r="6" spans="1:16">
      <c r="A6" s="91"/>
      <c r="B6" s="54"/>
      <c r="C6" s="45" t="s">
        <v>181</v>
      </c>
      <c r="D6" s="48" t="s">
        <v>192</v>
      </c>
      <c r="E6" s="48" t="s">
        <v>632</v>
      </c>
      <c r="F6" s="48"/>
    </row>
    <row r="7" spans="1:16" ht="12" customHeight="1">
      <c r="A7" s="91"/>
      <c r="B7" s="54"/>
      <c r="C7" s="45"/>
      <c r="D7" s="48" t="s">
        <v>641</v>
      </c>
      <c r="E7" s="272" t="s">
        <v>669</v>
      </c>
      <c r="F7" s="48"/>
    </row>
    <row r="8" spans="1:16" ht="14.25" customHeight="1">
      <c r="A8" s="150"/>
      <c r="B8" s="34"/>
      <c r="C8" s="90"/>
      <c r="D8" s="105" t="s">
        <v>198</v>
      </c>
      <c r="E8" s="278" t="s">
        <v>657</v>
      </c>
      <c r="F8" s="123" t="s">
        <v>657</v>
      </c>
    </row>
    <row r="9" spans="1:16">
      <c r="A9" s="91"/>
      <c r="B9" s="54"/>
      <c r="C9" s="36"/>
      <c r="D9" s="48"/>
      <c r="E9" s="48"/>
      <c r="F9" s="46"/>
    </row>
    <row r="10" spans="1:16">
      <c r="A10" s="151"/>
      <c r="B10" s="54"/>
      <c r="C10" s="312"/>
      <c r="D10" s="129"/>
      <c r="E10" s="129"/>
      <c r="F10" s="98"/>
    </row>
    <row r="11" spans="1:16" ht="14.25">
      <c r="A11" s="151">
        <v>1</v>
      </c>
      <c r="B11" s="54" t="s">
        <v>596</v>
      </c>
      <c r="C11" s="311">
        <v>4849.6589999999997</v>
      </c>
      <c r="D11" s="48"/>
      <c r="E11" s="48"/>
      <c r="F11" s="62">
        <f>F14+F17</f>
        <v>1182306.9030098398</v>
      </c>
      <c r="I11" s="291"/>
    </row>
    <row r="12" spans="1:16">
      <c r="A12" s="151"/>
      <c r="B12" s="54" t="s">
        <v>214</v>
      </c>
      <c r="C12" s="312"/>
      <c r="D12" s="48"/>
      <c r="E12" s="48"/>
      <c r="F12" s="48"/>
    </row>
    <row r="13" spans="1:16">
      <c r="A13" s="151"/>
      <c r="B13" s="54"/>
      <c r="C13" s="312"/>
      <c r="D13" s="48"/>
      <c r="E13" s="48"/>
      <c r="F13" s="48"/>
    </row>
    <row r="14" spans="1:16">
      <c r="A14" s="151"/>
      <c r="B14" s="54" t="s">
        <v>320</v>
      </c>
      <c r="C14" s="313">
        <f>C11*0.85</f>
        <v>4122.2101499999999</v>
      </c>
      <c r="D14" s="315">
        <v>31.36</v>
      </c>
      <c r="E14" s="48">
        <v>6.8789999999999996</v>
      </c>
      <c r="F14" s="62">
        <f>C14*D14*E14</f>
        <v>889265.59838121594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>
      <c r="A15" s="151"/>
      <c r="B15" s="54" t="s">
        <v>215</v>
      </c>
      <c r="C15" s="312"/>
      <c r="D15" s="315"/>
      <c r="E15" s="48"/>
      <c r="F15" s="62"/>
      <c r="G15" s="27"/>
      <c r="H15" s="329"/>
      <c r="I15" s="27"/>
      <c r="J15" s="27"/>
      <c r="K15" s="27"/>
      <c r="L15" s="27"/>
      <c r="M15" s="27"/>
      <c r="N15" s="27"/>
      <c r="O15" s="27"/>
      <c r="P15" s="27"/>
    </row>
    <row r="16" spans="1:16">
      <c r="A16" s="151"/>
      <c r="B16" s="54"/>
      <c r="C16" s="312"/>
      <c r="D16" s="315"/>
      <c r="E16" s="48"/>
      <c r="F16" s="62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>
      <c r="A17" s="151"/>
      <c r="B17" s="54" t="s">
        <v>597</v>
      </c>
      <c r="C17" s="313">
        <f>C11*0.15</f>
        <v>727.44884999999988</v>
      </c>
      <c r="D17" s="315">
        <v>58.56</v>
      </c>
      <c r="E17" s="48">
        <v>6.8789999999999996</v>
      </c>
      <c r="F17" s="62">
        <f>C17*D17*E17</f>
        <v>293041.30462862394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>
      <c r="A18" s="151"/>
      <c r="B18" s="54" t="s">
        <v>186</v>
      </c>
      <c r="C18" s="312"/>
      <c r="D18" s="315"/>
      <c r="E18" s="48"/>
      <c r="F18" s="62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>
      <c r="A19" s="151"/>
      <c r="B19" s="54" t="s">
        <v>216</v>
      </c>
      <c r="C19" s="312"/>
      <c r="D19" s="315"/>
      <c r="E19" s="48"/>
      <c r="F19" s="62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>
      <c r="A20" s="151"/>
      <c r="B20" s="54" t="s">
        <v>188</v>
      </c>
      <c r="C20" s="312"/>
      <c r="D20" s="315"/>
      <c r="E20" s="48"/>
      <c r="F20" s="62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>
      <c r="A21" s="151"/>
      <c r="B21" s="54"/>
      <c r="C21" s="312"/>
      <c r="D21" s="315"/>
      <c r="E21" s="48"/>
      <c r="F21" s="62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>
      <c r="A22" s="151"/>
      <c r="B22" s="54"/>
      <c r="C22" s="312"/>
      <c r="D22" s="315"/>
      <c r="E22" s="62"/>
      <c r="F22" s="62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 ht="14.25">
      <c r="A23" s="151">
        <v>2</v>
      </c>
      <c r="B23" s="54" t="s">
        <v>596</v>
      </c>
      <c r="C23" s="311">
        <v>1309.5250000000001</v>
      </c>
      <c r="D23" s="315">
        <v>75.52</v>
      </c>
      <c r="E23" s="48">
        <v>6.8789999999999996</v>
      </c>
      <c r="F23" s="62">
        <f>C23*D23*E23</f>
        <v>680300.96131200006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6">
      <c r="A24" s="151"/>
      <c r="B24" s="54" t="s">
        <v>217</v>
      </c>
      <c r="C24" s="312"/>
      <c r="D24" s="315"/>
      <c r="E24" s="48"/>
      <c r="F24" s="62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>
      <c r="A25" s="151"/>
      <c r="B25" s="54" t="s">
        <v>218</v>
      </c>
      <c r="C25" s="312"/>
      <c r="D25" s="315"/>
      <c r="E25" s="48"/>
      <c r="F25" s="62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>
      <c r="A26" s="151"/>
      <c r="B26" s="54"/>
      <c r="C26" s="312"/>
      <c r="D26" s="315"/>
      <c r="E26" s="48"/>
      <c r="F26" s="62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ht="18" customHeight="1">
      <c r="A27" s="151">
        <v>3</v>
      </c>
      <c r="B27" s="54" t="s">
        <v>189</v>
      </c>
      <c r="C27" s="311">
        <v>7714.2479999999996</v>
      </c>
      <c r="D27" s="315">
        <v>431.2</v>
      </c>
      <c r="E27" s="48">
        <v>6.8789999999999996</v>
      </c>
      <c r="F27" s="62">
        <f>C27*D27*E27</f>
        <v>22882193.730950397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>
      <c r="A28" s="151"/>
      <c r="B28" s="54" t="s">
        <v>190</v>
      </c>
      <c r="C28" s="312"/>
      <c r="D28" s="315"/>
      <c r="E28" s="48"/>
      <c r="F28" s="48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>
      <c r="A29" s="151"/>
      <c r="B29" s="54" t="s">
        <v>191</v>
      </c>
      <c r="C29" s="312"/>
      <c r="D29" s="48"/>
      <c r="E29" s="48"/>
      <c r="F29" s="48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6">
      <c r="A30" s="151"/>
      <c r="B30" s="54"/>
      <c r="C30" s="312"/>
      <c r="D30" s="48"/>
      <c r="E30" s="48"/>
      <c r="F30" s="78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6">
      <c r="A31" s="151"/>
      <c r="B31" s="54"/>
      <c r="C31" s="312"/>
      <c r="D31" s="48"/>
      <c r="E31" s="48"/>
      <c r="F31" s="78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ht="14.25">
      <c r="A32" s="151" t="s">
        <v>622</v>
      </c>
      <c r="B32" s="54" t="s">
        <v>662</v>
      </c>
      <c r="C32" s="314">
        <f>C11+C23+C27</f>
        <v>13873.431999999999</v>
      </c>
      <c r="D32" s="48"/>
      <c r="E32" s="315"/>
      <c r="F32" s="315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>
      <c r="A33" s="151"/>
      <c r="B33" s="35"/>
      <c r="C33" s="315"/>
      <c r="D33" s="48"/>
      <c r="E33" s="315"/>
      <c r="F33" s="315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>
      <c r="A34" s="151"/>
      <c r="B34" s="54"/>
      <c r="C34" s="312"/>
      <c r="D34" s="129"/>
      <c r="E34" s="327"/>
      <c r="F34" s="328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 ht="14.25">
      <c r="A35" s="151"/>
      <c r="B35" s="54" t="s">
        <v>636</v>
      </c>
      <c r="C35" s="312"/>
      <c r="D35" s="129"/>
      <c r="E35" s="62"/>
      <c r="F35" s="153">
        <f>F11+F23+F27</f>
        <v>24744801.595272236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6">
      <c r="A36" s="151"/>
      <c r="B36" s="54"/>
      <c r="C36" s="312"/>
      <c r="D36" s="129"/>
      <c r="E36" s="62"/>
      <c r="F36" s="152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16" ht="14.25">
      <c r="A37" s="151"/>
      <c r="B37" s="93" t="s">
        <v>316</v>
      </c>
      <c r="C37" s="312"/>
      <c r="D37" s="98"/>
      <c r="E37" s="62"/>
      <c r="F37" s="152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1:16" ht="14.25">
      <c r="A38" s="151"/>
      <c r="B38" s="93" t="s">
        <v>317</v>
      </c>
      <c r="C38" s="317">
        <v>15073.7</v>
      </c>
      <c r="D38" s="315"/>
      <c r="E38" s="318"/>
      <c r="F38" s="315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1:16">
      <c r="A39" s="154"/>
      <c r="B39" s="54"/>
      <c r="C39" s="315"/>
      <c r="D39" s="315"/>
      <c r="E39" s="319"/>
      <c r="F39" s="320">
        <v>2.59</v>
      </c>
      <c r="G39" s="27"/>
      <c r="H39" s="30"/>
      <c r="I39" s="27"/>
      <c r="J39" s="27"/>
      <c r="K39" s="27"/>
      <c r="L39" s="27"/>
      <c r="M39" s="27"/>
      <c r="N39" s="27"/>
      <c r="O39" s="27"/>
      <c r="P39" s="27"/>
    </row>
    <row r="40" spans="1:16">
      <c r="A40" s="154"/>
      <c r="B40" s="54"/>
      <c r="C40" s="48"/>
      <c r="D40" s="48"/>
      <c r="E40" s="45"/>
      <c r="F40" s="46" t="s">
        <v>532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1:16" ht="14.25">
      <c r="A41" s="154"/>
      <c r="B41" s="93" t="s">
        <v>379</v>
      </c>
      <c r="C41" s="48"/>
      <c r="D41" s="48"/>
      <c r="E41" s="45"/>
      <c r="F41" s="46" t="s">
        <v>533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16" ht="14.25">
      <c r="A42" s="155"/>
      <c r="B42" s="156" t="s">
        <v>197</v>
      </c>
      <c r="C42" s="157"/>
      <c r="D42" s="157"/>
      <c r="E42" s="158"/>
      <c r="F42" s="159">
        <f>F35/C38/F39</f>
        <v>633.81767249660402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1:16"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16">
      <c r="G44" s="27"/>
      <c r="H44" s="27"/>
      <c r="I44" s="27"/>
      <c r="J44" s="27"/>
      <c r="K44" s="27"/>
      <c r="L44" s="27"/>
      <c r="M44" s="27"/>
      <c r="N44" s="27"/>
      <c r="O44" s="27"/>
      <c r="P44" s="27"/>
    </row>
  </sheetData>
  <mergeCells count="2">
    <mergeCell ref="A1:F1"/>
    <mergeCell ref="A2:F2"/>
  </mergeCells>
  <phoneticPr fontId="29" type="noConversion"/>
  <pageMargins left="0.64" right="0.43" top="0.8" bottom="1" header="0.5" footer="0.5"/>
  <pageSetup paperSize="9" orientation="portrait" horizontalDpi="360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7"/>
  <sheetViews>
    <sheetView topLeftCell="C1" zoomScale="75" workbookViewId="0">
      <selection activeCell="I23" sqref="I23"/>
    </sheetView>
  </sheetViews>
  <sheetFormatPr defaultRowHeight="12.75"/>
  <cols>
    <col min="1" max="1" width="3.85546875" style="24" customWidth="1"/>
    <col min="2" max="2" width="32.7109375" customWidth="1"/>
    <col min="3" max="3" width="15.7109375" customWidth="1"/>
    <col min="4" max="4" width="12.5703125" customWidth="1"/>
    <col min="5" max="5" width="9.42578125" customWidth="1"/>
    <col min="6" max="6" width="9.28515625" customWidth="1"/>
    <col min="8" max="9" width="10.42578125" bestFit="1" customWidth="1"/>
    <col min="10" max="10" width="11" bestFit="1" customWidth="1"/>
  </cols>
  <sheetData>
    <row r="1" spans="1:7" ht="14.25">
      <c r="A1" s="348" t="s">
        <v>598</v>
      </c>
      <c r="B1" s="348"/>
      <c r="C1" s="348"/>
      <c r="D1" s="348"/>
      <c r="E1" s="348"/>
      <c r="F1" s="348"/>
      <c r="G1" s="348"/>
    </row>
    <row r="2" spans="1:7">
      <c r="A2" s="117"/>
      <c r="B2" s="35"/>
      <c r="C2" s="36"/>
      <c r="D2" s="36"/>
      <c r="E2" s="36"/>
      <c r="F2" s="36"/>
      <c r="G2" s="36"/>
    </row>
    <row r="3" spans="1:7">
      <c r="A3" s="261" t="s">
        <v>8</v>
      </c>
      <c r="B3" s="43" t="s">
        <v>102</v>
      </c>
      <c r="C3" s="176" t="s">
        <v>103</v>
      </c>
      <c r="D3" s="41" t="s">
        <v>104</v>
      </c>
      <c r="E3" s="41" t="s">
        <v>600</v>
      </c>
      <c r="F3" s="41" t="s">
        <v>106</v>
      </c>
      <c r="G3" s="41" t="s">
        <v>106</v>
      </c>
    </row>
    <row r="4" spans="1:7">
      <c r="A4" s="95"/>
      <c r="B4" s="48"/>
      <c r="C4" s="128"/>
      <c r="D4" s="46"/>
      <c r="E4" s="46" t="s">
        <v>632</v>
      </c>
      <c r="F4" s="46"/>
      <c r="G4" s="46"/>
    </row>
    <row r="5" spans="1:7">
      <c r="A5" s="95" t="s">
        <v>373</v>
      </c>
      <c r="B5" s="54"/>
      <c r="C5" s="128" t="s">
        <v>81</v>
      </c>
      <c r="D5" s="46" t="s">
        <v>105</v>
      </c>
      <c r="E5" s="46" t="s">
        <v>669</v>
      </c>
      <c r="F5" s="46" t="s">
        <v>105</v>
      </c>
      <c r="G5" s="46" t="s">
        <v>105</v>
      </c>
    </row>
    <row r="6" spans="1:7">
      <c r="A6" s="95"/>
      <c r="B6" s="54"/>
      <c r="C6" s="128"/>
      <c r="D6" s="46"/>
      <c r="E6" s="50"/>
      <c r="F6" s="46" t="s">
        <v>178</v>
      </c>
      <c r="G6" s="46" t="s">
        <v>183</v>
      </c>
    </row>
    <row r="7" spans="1:7">
      <c r="A7" s="63"/>
      <c r="B7" s="54"/>
      <c r="C7" s="128"/>
      <c r="D7" s="46" t="s">
        <v>294</v>
      </c>
      <c r="E7" s="50"/>
      <c r="F7" s="46"/>
      <c r="G7" s="46"/>
    </row>
    <row r="8" spans="1:7">
      <c r="A8" s="262"/>
      <c r="B8" s="34"/>
      <c r="C8" s="90"/>
      <c r="D8" s="292">
        <v>2.59</v>
      </c>
      <c r="E8" s="92" t="s">
        <v>657</v>
      </c>
      <c r="F8" s="278" t="s">
        <v>657</v>
      </c>
      <c r="G8" s="123" t="s">
        <v>657</v>
      </c>
    </row>
    <row r="9" spans="1:7">
      <c r="A9" s="39"/>
      <c r="B9" s="43"/>
      <c r="C9" s="149"/>
      <c r="D9" s="42"/>
      <c r="E9" s="43"/>
      <c r="F9" s="43"/>
      <c r="G9" s="43"/>
    </row>
    <row r="10" spans="1:7" ht="14.25">
      <c r="A10" s="57">
        <v>1</v>
      </c>
      <c r="B10" s="93" t="s">
        <v>131</v>
      </c>
      <c r="C10" s="166" t="s">
        <v>611</v>
      </c>
      <c r="D10" s="169">
        <v>21</v>
      </c>
      <c r="E10" s="48">
        <v>1.79</v>
      </c>
      <c r="F10" s="62">
        <f>E10*D10*12</f>
        <v>451.08000000000004</v>
      </c>
      <c r="G10" s="263">
        <f>F10/12</f>
        <v>37.590000000000003</v>
      </c>
    </row>
    <row r="11" spans="1:7">
      <c r="A11" s="49"/>
      <c r="B11" s="54"/>
      <c r="C11" s="76" t="s">
        <v>177</v>
      </c>
      <c r="D11" s="237"/>
      <c r="E11" s="48"/>
      <c r="F11" s="62"/>
      <c r="G11" s="48"/>
    </row>
    <row r="12" spans="1:7" ht="14.25">
      <c r="A12" s="57" t="s">
        <v>435</v>
      </c>
      <c r="B12" s="93" t="s">
        <v>201</v>
      </c>
      <c r="C12" s="76" t="s">
        <v>135</v>
      </c>
      <c r="D12" s="35"/>
      <c r="E12" s="52"/>
      <c r="F12" s="264">
        <f>F14+F17+F20</f>
        <v>300.83184</v>
      </c>
      <c r="G12" s="265">
        <f>F12/12</f>
        <v>25.069320000000001</v>
      </c>
    </row>
    <row r="13" spans="1:7" ht="14.25">
      <c r="A13" s="57"/>
      <c r="B13" s="93" t="s">
        <v>132</v>
      </c>
      <c r="C13" s="76" t="s">
        <v>183</v>
      </c>
      <c r="D13" s="35"/>
      <c r="E13" s="52"/>
      <c r="F13" s="169">
        <f>F15+F18+F21</f>
        <v>247.72752</v>
      </c>
      <c r="G13" s="127">
        <f>F13/12</f>
        <v>20.64396</v>
      </c>
    </row>
    <row r="14" spans="1:7" ht="15">
      <c r="A14" s="57"/>
      <c r="B14" s="93"/>
      <c r="C14" s="76" t="s">
        <v>177</v>
      </c>
      <c r="D14" s="266">
        <v>3.2</v>
      </c>
      <c r="E14" s="78">
        <v>4.9800000000000004</v>
      </c>
      <c r="F14" s="62">
        <f>D14*E14*0.23*12</f>
        <v>43.983360000000005</v>
      </c>
      <c r="G14" s="267">
        <f>F14/12</f>
        <v>3.6652800000000005</v>
      </c>
    </row>
    <row r="15" spans="1:7" ht="15">
      <c r="A15" s="57"/>
      <c r="B15" s="93"/>
      <c r="C15" s="76"/>
      <c r="D15" s="98">
        <v>3</v>
      </c>
      <c r="E15" s="78">
        <v>4.26</v>
      </c>
      <c r="F15" s="62">
        <f>E15*D15*0.23*12</f>
        <v>35.272800000000004</v>
      </c>
      <c r="G15" s="132">
        <f>F15/12</f>
        <v>2.9394000000000005</v>
      </c>
    </row>
    <row r="16" spans="1:7" ht="15">
      <c r="A16" s="57"/>
      <c r="B16" s="233"/>
      <c r="C16" s="76"/>
      <c r="D16" s="98"/>
      <c r="E16" s="78"/>
      <c r="F16" s="62"/>
      <c r="G16" s="132"/>
    </row>
    <row r="17" spans="1:9" ht="15">
      <c r="A17" s="57"/>
      <c r="B17" s="233"/>
      <c r="C17" s="76"/>
      <c r="D17" s="266">
        <v>4.4000000000000004</v>
      </c>
      <c r="E17" s="78">
        <v>4.9800000000000004</v>
      </c>
      <c r="F17" s="62">
        <f>E17*D17*0.12*12</f>
        <v>31.553280000000001</v>
      </c>
      <c r="G17" s="267">
        <f>F17/12</f>
        <v>2.6294400000000002</v>
      </c>
    </row>
    <row r="18" spans="1:9" ht="15">
      <c r="A18" s="57"/>
      <c r="B18" s="233"/>
      <c r="C18" s="76"/>
      <c r="D18" s="98">
        <v>4.3</v>
      </c>
      <c r="E18" s="78">
        <v>4.26</v>
      </c>
      <c r="F18" s="62">
        <f>E18*D18*0.12*12</f>
        <v>26.377919999999996</v>
      </c>
      <c r="G18" s="132">
        <f>F18/12</f>
        <v>2.1981599999999997</v>
      </c>
    </row>
    <row r="19" spans="1:9" ht="15">
      <c r="A19" s="57"/>
      <c r="B19" s="233"/>
      <c r="C19" s="76"/>
      <c r="D19" s="129"/>
      <c r="E19" s="78"/>
      <c r="F19" s="62"/>
      <c r="G19" s="132"/>
    </row>
    <row r="20" spans="1:9" ht="15">
      <c r="A20" s="57"/>
      <c r="B20" s="233"/>
      <c r="C20" s="76"/>
      <c r="D20" s="266">
        <v>5.8</v>
      </c>
      <c r="E20" s="78">
        <v>4.9800000000000004</v>
      </c>
      <c r="F20" s="62">
        <f>E20*D20*0.65*12</f>
        <v>225.29519999999999</v>
      </c>
      <c r="G20" s="267">
        <f>F20/12</f>
        <v>18.7746</v>
      </c>
    </row>
    <row r="21" spans="1:9" ht="15">
      <c r="A21" s="57"/>
      <c r="B21" s="233"/>
      <c r="C21" s="76"/>
      <c r="D21" s="98">
        <v>5.6</v>
      </c>
      <c r="E21" s="78">
        <v>4.26</v>
      </c>
      <c r="F21" s="62">
        <f>E21*D21*0.65*12</f>
        <v>186.07679999999999</v>
      </c>
      <c r="G21" s="132">
        <f>F21/12</f>
        <v>15.506399999999999</v>
      </c>
    </row>
    <row r="22" spans="1:9" ht="14.25">
      <c r="A22" s="57"/>
      <c r="B22" s="233"/>
      <c r="C22" s="76"/>
      <c r="D22" s="129"/>
      <c r="E22" s="78"/>
      <c r="F22" s="62"/>
      <c r="G22" s="62"/>
    </row>
    <row r="23" spans="1:9" ht="14.25">
      <c r="A23" s="57" t="s">
        <v>436</v>
      </c>
      <c r="B23" s="233" t="s">
        <v>133</v>
      </c>
      <c r="C23" s="76"/>
      <c r="D23" s="129"/>
      <c r="E23" s="78"/>
      <c r="F23" s="62">
        <f>F24+F25</f>
        <v>1298.1274800000001</v>
      </c>
      <c r="G23" s="127">
        <f>F23/12</f>
        <v>108.17729000000001</v>
      </c>
    </row>
    <row r="24" spans="1:9">
      <c r="A24" s="95"/>
      <c r="B24" s="35" t="s">
        <v>199</v>
      </c>
      <c r="C24" s="46" t="s">
        <v>613</v>
      </c>
      <c r="D24" s="48">
        <v>2.4</v>
      </c>
      <c r="E24" s="177">
        <v>644.23199999999997</v>
      </c>
      <c r="F24" s="62">
        <f>E24*D24*0.65</f>
        <v>1005.00192</v>
      </c>
      <c r="G24" s="62">
        <f>F24/12</f>
        <v>83.750160000000008</v>
      </c>
    </row>
    <row r="25" spans="1:9">
      <c r="A25" s="95"/>
      <c r="B25" s="35" t="s">
        <v>200</v>
      </c>
      <c r="C25" s="46" t="s">
        <v>612</v>
      </c>
      <c r="D25" s="62">
        <v>1.3</v>
      </c>
      <c r="E25" s="177">
        <v>644.23199999999997</v>
      </c>
      <c r="F25" s="62">
        <f>E25*D25*0.35</f>
        <v>293.12555999999995</v>
      </c>
      <c r="G25" s="62">
        <f>F25/12</f>
        <v>24.427129999999995</v>
      </c>
    </row>
    <row r="26" spans="1:9">
      <c r="A26" s="95"/>
      <c r="B26" s="35"/>
      <c r="C26" s="46"/>
      <c r="D26" s="62"/>
      <c r="E26" s="177"/>
      <c r="F26" s="62"/>
      <c r="G26" s="62"/>
    </row>
    <row r="27" spans="1:9" ht="14.25">
      <c r="A27" s="96" t="s">
        <v>437</v>
      </c>
      <c r="B27" s="68" t="s">
        <v>82</v>
      </c>
      <c r="C27" s="46"/>
      <c r="D27" s="48"/>
      <c r="E27" s="36"/>
      <c r="F27" s="62">
        <f>F28+F29+F30+F31</f>
        <v>332.1159845559846</v>
      </c>
      <c r="G27" s="127">
        <f t="shared" ref="G27:G34" si="0">F27/12</f>
        <v>27.67633204633205</v>
      </c>
    </row>
    <row r="28" spans="1:9" ht="38.25">
      <c r="A28" s="95"/>
      <c r="B28" s="330" t="s">
        <v>664</v>
      </c>
      <c r="C28" s="331" t="s">
        <v>663</v>
      </c>
      <c r="D28" s="332">
        <v>1320</v>
      </c>
      <c r="E28" s="322">
        <v>0.56999999999999995</v>
      </c>
      <c r="F28" s="62">
        <f>(100*12*E28)*95.8/100/D$8</f>
        <v>253.00077220077219</v>
      </c>
      <c r="G28" s="62">
        <f t="shared" si="0"/>
        <v>21.083397683397681</v>
      </c>
      <c r="I28" s="28"/>
    </row>
    <row r="29" spans="1:9">
      <c r="A29" s="95"/>
      <c r="B29" s="35" t="s">
        <v>665</v>
      </c>
      <c r="C29" s="46"/>
      <c r="D29" s="62"/>
      <c r="E29" s="322">
        <v>0.99</v>
      </c>
      <c r="F29" s="62">
        <f>((1320-100*12)*E29)*95.8/100/D$8</f>
        <v>43.942239382239379</v>
      </c>
      <c r="G29" s="62">
        <f t="shared" si="0"/>
        <v>3.6618532818532814</v>
      </c>
      <c r="I29" s="28"/>
    </row>
    <row r="30" spans="1:9" ht="38.25">
      <c r="A30" s="95"/>
      <c r="B30" s="330" t="s">
        <v>666</v>
      </c>
      <c r="C30" s="46"/>
      <c r="D30" s="332">
        <v>2700</v>
      </c>
      <c r="E30" s="322">
        <v>0.56999999999999995</v>
      </c>
      <c r="F30" s="62">
        <f>(100*12*E30)*4.2/100/D$8</f>
        <v>11.091891891891892</v>
      </c>
      <c r="G30" s="62">
        <f t="shared" si="0"/>
        <v>0.92432432432432432</v>
      </c>
    </row>
    <row r="31" spans="1:9">
      <c r="A31" s="95"/>
      <c r="B31" s="35" t="s">
        <v>665</v>
      </c>
      <c r="C31" s="46"/>
      <c r="D31" s="48"/>
      <c r="E31" s="322">
        <v>0.99</v>
      </c>
      <c r="F31" s="62">
        <f>((2700-100*12)*E31)*4.2/100/D$8</f>
        <v>24.081081081081081</v>
      </c>
      <c r="G31" s="62">
        <f t="shared" si="0"/>
        <v>2.0067567567567566</v>
      </c>
    </row>
    <row r="32" spans="1:9" ht="14.25">
      <c r="A32" s="96" t="s">
        <v>445</v>
      </c>
      <c r="B32" s="68" t="s">
        <v>599</v>
      </c>
      <c r="C32" s="46"/>
      <c r="D32" s="48"/>
      <c r="E32" s="36"/>
      <c r="F32" s="62">
        <f>F33+F34+F36+F38+F40</f>
        <v>191.97837837837838</v>
      </c>
      <c r="G32" s="127">
        <f t="shared" si="0"/>
        <v>15.998198198198198</v>
      </c>
      <c r="H32" s="291"/>
    </row>
    <row r="33" spans="1:9">
      <c r="A33" s="268"/>
      <c r="B33" s="35" t="s">
        <v>136</v>
      </c>
      <c r="C33" s="46" t="s">
        <v>614</v>
      </c>
      <c r="D33" s="98">
        <v>52</v>
      </c>
      <c r="E33" s="36">
        <v>4.24</v>
      </c>
      <c r="F33" s="62">
        <f>E33*D33/D8</f>
        <v>85.127413127413135</v>
      </c>
      <c r="G33" s="62">
        <f t="shared" si="0"/>
        <v>7.0939510939510946</v>
      </c>
    </row>
    <row r="34" spans="1:9">
      <c r="A34" s="268"/>
      <c r="B34" s="35" t="s">
        <v>137</v>
      </c>
      <c r="C34" s="46" t="s">
        <v>175</v>
      </c>
      <c r="D34" s="98">
        <v>15</v>
      </c>
      <c r="E34" s="36">
        <v>0.12</v>
      </c>
      <c r="F34" s="48">
        <f>D34*E34*12</f>
        <v>21.599999999999998</v>
      </c>
      <c r="G34" s="62">
        <f t="shared" si="0"/>
        <v>1.7999999999999998</v>
      </c>
    </row>
    <row r="35" spans="1:9">
      <c r="A35" s="268"/>
      <c r="B35" s="35" t="s">
        <v>355</v>
      </c>
      <c r="C35" s="46" t="s">
        <v>615</v>
      </c>
      <c r="D35" s="98"/>
      <c r="E35" s="36"/>
      <c r="F35" s="48"/>
      <c r="G35" s="62"/>
    </row>
    <row r="36" spans="1:9">
      <c r="A36" s="268"/>
      <c r="B36" s="35" t="s">
        <v>138</v>
      </c>
      <c r="C36" s="46" t="s">
        <v>617</v>
      </c>
      <c r="D36" s="66">
        <v>1</v>
      </c>
      <c r="E36" s="36">
        <v>2.4</v>
      </c>
      <c r="F36" s="62">
        <f>E36*D36/D8*12</f>
        <v>11.119691119691121</v>
      </c>
      <c r="G36" s="62">
        <f>F36/12</f>
        <v>0.92664092664092668</v>
      </c>
    </row>
    <row r="37" spans="1:9">
      <c r="A37" s="268"/>
      <c r="B37" s="35"/>
      <c r="C37" s="46" t="s">
        <v>616</v>
      </c>
      <c r="D37" s="66"/>
      <c r="E37" s="36"/>
      <c r="F37" s="62"/>
      <c r="G37" s="62"/>
    </row>
    <row r="38" spans="1:9">
      <c r="A38" s="268"/>
      <c r="B38" s="35" t="s">
        <v>139</v>
      </c>
      <c r="C38" s="46" t="s">
        <v>618</v>
      </c>
      <c r="D38" s="62">
        <v>1</v>
      </c>
      <c r="E38" s="36">
        <v>15</v>
      </c>
      <c r="F38" s="62">
        <f>E38*D38*12/D8</f>
        <v>69.498069498069498</v>
      </c>
      <c r="G38" s="62">
        <f>F38/12</f>
        <v>5.7915057915057915</v>
      </c>
    </row>
    <row r="39" spans="1:9">
      <c r="A39" s="268"/>
      <c r="B39" s="35"/>
      <c r="C39" s="46" t="s">
        <v>619</v>
      </c>
      <c r="D39" s="62"/>
      <c r="E39" s="36"/>
      <c r="F39" s="62"/>
      <c r="G39" s="62"/>
    </row>
    <row r="40" spans="1:9">
      <c r="A40" s="268"/>
      <c r="B40" s="35" t="s">
        <v>140</v>
      </c>
      <c r="C40" s="46" t="s">
        <v>618</v>
      </c>
      <c r="D40" s="62">
        <v>1</v>
      </c>
      <c r="E40" s="269">
        <v>1</v>
      </c>
      <c r="F40" s="62">
        <f>E40*D40*12/D8</f>
        <v>4.6332046332046337</v>
      </c>
      <c r="G40" s="62">
        <f>F40/12</f>
        <v>0.38610038610038616</v>
      </c>
      <c r="I40" s="28"/>
    </row>
    <row r="41" spans="1:9">
      <c r="A41" s="268"/>
      <c r="B41" s="35"/>
      <c r="C41" s="46" t="s">
        <v>619</v>
      </c>
      <c r="D41" s="62"/>
      <c r="E41" s="269"/>
      <c r="F41" s="62"/>
      <c r="G41" s="62"/>
      <c r="I41" s="28"/>
    </row>
    <row r="42" spans="1:9" ht="14.25">
      <c r="A42" s="268" t="s">
        <v>452</v>
      </c>
      <c r="B42" s="270" t="s">
        <v>638</v>
      </c>
      <c r="C42" s="46" t="s">
        <v>609</v>
      </c>
      <c r="D42" s="98">
        <v>12</v>
      </c>
      <c r="E42" s="61">
        <f>(50.99+15.24+44.3)/3</f>
        <v>36.843333333333334</v>
      </c>
      <c r="F42" s="62">
        <f>E42*D42/D8</f>
        <v>170.70270270270271</v>
      </c>
      <c r="G42" s="127">
        <f>F42/12</f>
        <v>14.225225225225225</v>
      </c>
    </row>
    <row r="43" spans="1:9">
      <c r="A43" s="95"/>
      <c r="B43" s="32" t="s">
        <v>179</v>
      </c>
      <c r="C43" s="46" t="s">
        <v>178</v>
      </c>
      <c r="D43" s="48"/>
      <c r="E43" s="45"/>
      <c r="F43" s="48"/>
      <c r="G43" s="48"/>
    </row>
    <row r="44" spans="1:9">
      <c r="A44" s="95"/>
      <c r="B44" s="32" t="s">
        <v>610</v>
      </c>
      <c r="C44" s="46" t="s">
        <v>620</v>
      </c>
      <c r="D44" s="48"/>
      <c r="E44" s="45"/>
      <c r="F44" s="48"/>
      <c r="G44" s="48"/>
      <c r="H44" s="291"/>
    </row>
    <row r="45" spans="1:9">
      <c r="A45" s="63"/>
      <c r="B45" s="54" t="s">
        <v>295</v>
      </c>
      <c r="C45" s="46" t="s">
        <v>619</v>
      </c>
      <c r="D45" s="48"/>
      <c r="E45" s="47"/>
      <c r="F45" s="48"/>
      <c r="G45" s="48"/>
    </row>
    <row r="46" spans="1:9" ht="14.25">
      <c r="A46" s="262"/>
      <c r="B46" s="156"/>
      <c r="C46" s="105"/>
      <c r="D46" s="114"/>
      <c r="E46" s="271"/>
      <c r="F46" s="159"/>
      <c r="G46" s="105"/>
    </row>
    <row r="47" spans="1:9">
      <c r="C47" s="3"/>
      <c r="D47" s="3"/>
      <c r="E47" s="3"/>
      <c r="F47" s="3"/>
      <c r="G47" s="3"/>
    </row>
  </sheetData>
  <mergeCells count="1">
    <mergeCell ref="A1:G1"/>
  </mergeCells>
  <phoneticPr fontId="29" type="noConversion"/>
  <pageMargins left="0.75" right="0.28000000000000003" top="0.63" bottom="1" header="1.1399999999999999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activeCell="H41" sqref="H41"/>
    </sheetView>
  </sheetViews>
  <sheetFormatPr defaultRowHeight="12.75"/>
  <cols>
    <col min="1" max="1" width="5.140625" style="24" customWidth="1"/>
    <col min="2" max="2" width="27.7109375" customWidth="1"/>
    <col min="3" max="3" width="14.140625" customWidth="1"/>
    <col min="7" max="7" width="9.85546875" customWidth="1"/>
  </cols>
  <sheetData>
    <row r="1" spans="1:12" ht="14.25">
      <c r="A1" s="351" t="s">
        <v>347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</row>
    <row r="2" spans="1:12">
      <c r="A2" s="160"/>
      <c r="B2" s="74"/>
      <c r="C2" s="90"/>
      <c r="D2" s="90"/>
      <c r="E2" s="90"/>
      <c r="F2" s="90"/>
      <c r="G2" s="74"/>
      <c r="H2" s="74"/>
      <c r="I2" s="32"/>
      <c r="J2" s="32"/>
      <c r="K2" s="32"/>
      <c r="L2" s="32"/>
    </row>
    <row r="3" spans="1:12">
      <c r="A3" s="44" t="s">
        <v>8</v>
      </c>
      <c r="B3" s="48" t="s">
        <v>141</v>
      </c>
      <c r="C3" s="45" t="s">
        <v>103</v>
      </c>
      <c r="D3" s="46" t="s">
        <v>600</v>
      </c>
      <c r="E3" s="343" t="s">
        <v>534</v>
      </c>
      <c r="F3" s="344"/>
      <c r="G3" s="344"/>
      <c r="H3" s="345"/>
      <c r="I3" s="352" t="s">
        <v>535</v>
      </c>
      <c r="J3" s="353"/>
      <c r="K3" s="353"/>
      <c r="L3" s="354"/>
    </row>
    <row r="4" spans="1:12">
      <c r="A4" s="44" t="s">
        <v>373</v>
      </c>
      <c r="B4" s="48" t="s">
        <v>142</v>
      </c>
      <c r="C4" s="45" t="s">
        <v>81</v>
      </c>
      <c r="D4" s="46" t="s">
        <v>632</v>
      </c>
      <c r="E4" s="128" t="s">
        <v>80</v>
      </c>
      <c r="F4" s="46" t="s">
        <v>80</v>
      </c>
      <c r="G4" s="53" t="s">
        <v>163</v>
      </c>
      <c r="H4" s="53" t="s">
        <v>165</v>
      </c>
      <c r="I4" s="46" t="s">
        <v>80</v>
      </c>
      <c r="J4" s="46" t="s">
        <v>80</v>
      </c>
      <c r="K4" s="53" t="s">
        <v>163</v>
      </c>
      <c r="L4" s="46" t="s">
        <v>165</v>
      </c>
    </row>
    <row r="5" spans="1:12">
      <c r="A5" s="95"/>
      <c r="B5" s="48"/>
      <c r="C5" s="45"/>
      <c r="D5" s="46" t="s">
        <v>669</v>
      </c>
      <c r="E5" s="128" t="s">
        <v>159</v>
      </c>
      <c r="F5" s="46" t="s">
        <v>161</v>
      </c>
      <c r="G5" s="128" t="s">
        <v>164</v>
      </c>
      <c r="H5" s="53" t="s">
        <v>166</v>
      </c>
      <c r="I5" s="46" t="s">
        <v>159</v>
      </c>
      <c r="J5" s="46" t="s">
        <v>161</v>
      </c>
      <c r="K5" s="128" t="s">
        <v>164</v>
      </c>
      <c r="L5" s="46" t="s">
        <v>166</v>
      </c>
    </row>
    <row r="6" spans="1:12">
      <c r="A6" s="95"/>
      <c r="B6" s="54"/>
      <c r="C6" s="45"/>
      <c r="D6" s="50"/>
      <c r="E6" s="128" t="s">
        <v>160</v>
      </c>
      <c r="F6" s="46" t="s">
        <v>160</v>
      </c>
      <c r="G6" s="161"/>
      <c r="H6" s="46" t="s">
        <v>167</v>
      </c>
      <c r="I6" s="128" t="s">
        <v>160</v>
      </c>
      <c r="J6" s="46" t="s">
        <v>160</v>
      </c>
      <c r="K6" s="35"/>
      <c r="L6" s="46" t="s">
        <v>167</v>
      </c>
    </row>
    <row r="7" spans="1:12">
      <c r="A7" s="95"/>
      <c r="B7" s="54"/>
      <c r="C7" s="45"/>
      <c r="D7" s="46"/>
      <c r="E7" s="128"/>
      <c r="F7" s="46" t="s">
        <v>162</v>
      </c>
      <c r="G7" s="162"/>
      <c r="H7" s="46" t="s">
        <v>116</v>
      </c>
      <c r="I7" s="35"/>
      <c r="J7" s="46" t="s">
        <v>162</v>
      </c>
      <c r="K7" s="128"/>
      <c r="L7" s="46" t="s">
        <v>116</v>
      </c>
    </row>
    <row r="8" spans="1:12">
      <c r="A8" s="44"/>
      <c r="B8" s="48"/>
      <c r="C8" s="45"/>
      <c r="D8" s="54"/>
      <c r="E8" s="128"/>
      <c r="F8" s="46"/>
      <c r="G8" s="128"/>
      <c r="H8" s="53"/>
      <c r="I8" s="46"/>
      <c r="J8" s="35"/>
      <c r="K8" s="53"/>
      <c r="L8" s="54"/>
    </row>
    <row r="9" spans="1:12">
      <c r="A9" s="163"/>
      <c r="B9" s="34"/>
      <c r="C9" s="32"/>
      <c r="D9" s="46" t="s">
        <v>657</v>
      </c>
      <c r="E9" s="161"/>
      <c r="F9" s="164"/>
      <c r="G9" s="161"/>
      <c r="H9" s="104"/>
      <c r="I9" s="278" t="s">
        <v>657</v>
      </c>
      <c r="J9" s="123" t="s">
        <v>657</v>
      </c>
      <c r="K9" s="278" t="s">
        <v>657</v>
      </c>
      <c r="L9" s="123" t="s">
        <v>657</v>
      </c>
    </row>
    <row r="10" spans="1:12">
      <c r="A10" s="39"/>
      <c r="B10" s="43"/>
      <c r="C10" s="149"/>
      <c r="D10" s="43"/>
      <c r="E10" s="149"/>
      <c r="F10" s="43"/>
      <c r="G10" s="42"/>
      <c r="H10" s="42"/>
      <c r="I10" s="43"/>
      <c r="J10" s="149"/>
      <c r="K10" s="43"/>
      <c r="L10" s="43"/>
    </row>
    <row r="11" spans="1:12">
      <c r="A11" s="44">
        <v>1</v>
      </c>
      <c r="B11" s="54" t="s">
        <v>143</v>
      </c>
      <c r="C11" s="76" t="s">
        <v>149</v>
      </c>
      <c r="D11" s="165">
        <v>55.18</v>
      </c>
      <c r="E11" s="166" t="s">
        <v>90</v>
      </c>
      <c r="F11" s="98">
        <v>1</v>
      </c>
      <c r="G11" s="167">
        <v>2</v>
      </c>
      <c r="H11" s="98">
        <v>2</v>
      </c>
      <c r="I11" s="45" t="s">
        <v>90</v>
      </c>
      <c r="J11" s="62">
        <f>D11*F11</f>
        <v>55.18</v>
      </c>
      <c r="K11" s="61">
        <f>D11*G11</f>
        <v>110.36</v>
      </c>
      <c r="L11" s="62">
        <f>D11*H11</f>
        <v>110.36</v>
      </c>
    </row>
    <row r="12" spans="1:12">
      <c r="A12" s="44" t="s">
        <v>435</v>
      </c>
      <c r="B12" s="32" t="s">
        <v>298</v>
      </c>
      <c r="C12" s="46" t="s">
        <v>153</v>
      </c>
      <c r="D12" s="165">
        <v>36.89</v>
      </c>
      <c r="E12" s="48" t="s">
        <v>90</v>
      </c>
      <c r="F12" s="45">
        <v>0.2</v>
      </c>
      <c r="G12" s="48">
        <v>0.3</v>
      </c>
      <c r="H12" s="45">
        <v>0.3</v>
      </c>
      <c r="I12" s="48" t="s">
        <v>90</v>
      </c>
      <c r="J12" s="62">
        <f>D12*F12</f>
        <v>7.3780000000000001</v>
      </c>
      <c r="K12" s="62">
        <f>D12*G12</f>
        <v>11.067</v>
      </c>
      <c r="L12" s="62">
        <f>D12*H12</f>
        <v>11.067</v>
      </c>
    </row>
    <row r="13" spans="1:12">
      <c r="A13" s="44" t="s">
        <v>436</v>
      </c>
      <c r="B13" s="54" t="s">
        <v>144</v>
      </c>
      <c r="C13" s="76" t="s">
        <v>150</v>
      </c>
      <c r="D13" s="168">
        <v>157.83000000000001</v>
      </c>
      <c r="E13" s="76" t="s">
        <v>90</v>
      </c>
      <c r="F13" s="62" t="s">
        <v>90</v>
      </c>
      <c r="G13" s="45">
        <v>0.3</v>
      </c>
      <c r="H13" s="48">
        <v>0.3</v>
      </c>
      <c r="I13" s="45" t="s">
        <v>90</v>
      </c>
      <c r="J13" s="62" t="s">
        <v>90</v>
      </c>
      <c r="K13" s="61">
        <f>D13*G13</f>
        <v>47.349000000000004</v>
      </c>
      <c r="L13" s="62">
        <f>D13*H13</f>
        <v>47.349000000000004</v>
      </c>
    </row>
    <row r="14" spans="1:12">
      <c r="A14" s="44" t="s">
        <v>437</v>
      </c>
      <c r="B14" s="54" t="s">
        <v>208</v>
      </c>
      <c r="C14" s="76" t="s">
        <v>537</v>
      </c>
      <c r="D14" s="168">
        <v>498.61</v>
      </c>
      <c r="E14" s="76" t="s">
        <v>90</v>
      </c>
      <c r="F14" s="62" t="s">
        <v>90</v>
      </c>
      <c r="G14" s="45">
        <v>0.2</v>
      </c>
      <c r="H14" s="48">
        <v>0.2</v>
      </c>
      <c r="I14" s="45" t="s">
        <v>90</v>
      </c>
      <c r="J14" s="62" t="s">
        <v>90</v>
      </c>
      <c r="K14" s="61">
        <f>D14*G14</f>
        <v>99.722000000000008</v>
      </c>
      <c r="L14" s="62">
        <f>D14*H14</f>
        <v>99.722000000000008</v>
      </c>
    </row>
    <row r="15" spans="1:12">
      <c r="A15" s="44"/>
      <c r="B15" s="54" t="s">
        <v>207</v>
      </c>
      <c r="C15" s="76" t="s">
        <v>536</v>
      </c>
      <c r="D15" s="168"/>
      <c r="E15" s="76"/>
      <c r="F15" s="54"/>
      <c r="G15" s="45"/>
      <c r="H15" s="48"/>
      <c r="I15" s="45"/>
      <c r="J15" s="62"/>
      <c r="K15" s="61"/>
      <c r="L15" s="62"/>
    </row>
    <row r="16" spans="1:12">
      <c r="A16" s="44" t="s">
        <v>445</v>
      </c>
      <c r="B16" s="54" t="s">
        <v>145</v>
      </c>
      <c r="C16" s="76" t="s">
        <v>151</v>
      </c>
      <c r="D16" s="168">
        <v>47.48</v>
      </c>
      <c r="E16" s="76" t="s">
        <v>90</v>
      </c>
      <c r="F16" s="98">
        <v>0.1</v>
      </c>
      <c r="G16" s="45">
        <v>0.2</v>
      </c>
      <c r="H16" s="48">
        <v>0.2</v>
      </c>
      <c r="I16" s="45" t="s">
        <v>90</v>
      </c>
      <c r="J16" s="62">
        <f>D16*F16</f>
        <v>4.7480000000000002</v>
      </c>
      <c r="K16" s="61">
        <f>D16*G16</f>
        <v>9.4960000000000004</v>
      </c>
      <c r="L16" s="62">
        <f t="shared" ref="L16:L21" si="0">D16*H16</f>
        <v>9.4960000000000004</v>
      </c>
    </row>
    <row r="17" spans="1:12">
      <c r="A17" s="44" t="s">
        <v>452</v>
      </c>
      <c r="B17" s="32" t="s">
        <v>310</v>
      </c>
      <c r="C17" s="46" t="s">
        <v>155</v>
      </c>
      <c r="D17" s="165">
        <v>73.45</v>
      </c>
      <c r="E17" s="48" t="s">
        <v>90</v>
      </c>
      <c r="F17" s="45" t="s">
        <v>90</v>
      </c>
      <c r="G17" s="48">
        <v>0.1</v>
      </c>
      <c r="H17" s="45">
        <v>0.1</v>
      </c>
      <c r="I17" s="48" t="s">
        <v>90</v>
      </c>
      <c r="J17" s="45" t="s">
        <v>90</v>
      </c>
      <c r="K17" s="62">
        <f>D17*G17</f>
        <v>7.3450000000000006</v>
      </c>
      <c r="L17" s="62">
        <f t="shared" si="0"/>
        <v>7.3450000000000006</v>
      </c>
    </row>
    <row r="18" spans="1:12">
      <c r="A18" s="44" t="s">
        <v>453</v>
      </c>
      <c r="B18" s="32" t="s">
        <v>637</v>
      </c>
      <c r="C18" s="46" t="s">
        <v>152</v>
      </c>
      <c r="D18" s="168">
        <v>162.72</v>
      </c>
      <c r="E18" s="46" t="s">
        <v>90</v>
      </c>
      <c r="F18" s="167">
        <v>0.5</v>
      </c>
      <c r="G18" s="98">
        <v>1</v>
      </c>
      <c r="H18" s="45">
        <v>0.5</v>
      </c>
      <c r="I18" s="48" t="s">
        <v>90</v>
      </c>
      <c r="J18" s="61">
        <f>D18*F18</f>
        <v>81.36</v>
      </c>
      <c r="K18" s="62">
        <f>D18*G18</f>
        <v>162.72</v>
      </c>
      <c r="L18" s="62">
        <f t="shared" si="0"/>
        <v>81.36</v>
      </c>
    </row>
    <row r="19" spans="1:12">
      <c r="A19" s="44" t="s">
        <v>458</v>
      </c>
      <c r="B19" s="32" t="s">
        <v>311</v>
      </c>
      <c r="C19" s="48" t="s">
        <v>87</v>
      </c>
      <c r="D19" s="165">
        <v>16</v>
      </c>
      <c r="E19" s="48" t="s">
        <v>90</v>
      </c>
      <c r="F19" s="45" t="s">
        <v>90</v>
      </c>
      <c r="G19" s="48" t="s">
        <v>90</v>
      </c>
      <c r="H19" s="167">
        <v>2</v>
      </c>
      <c r="I19" s="48" t="s">
        <v>90</v>
      </c>
      <c r="J19" s="45" t="s">
        <v>90</v>
      </c>
      <c r="K19" s="48" t="s">
        <v>90</v>
      </c>
      <c r="L19" s="48">
        <f t="shared" si="0"/>
        <v>32</v>
      </c>
    </row>
    <row r="20" spans="1:12">
      <c r="A20" s="44" t="s">
        <v>465</v>
      </c>
      <c r="B20" s="32" t="s">
        <v>146</v>
      </c>
      <c r="C20" s="46" t="s">
        <v>154</v>
      </c>
      <c r="D20" s="168">
        <v>44.04</v>
      </c>
      <c r="E20" s="48" t="s">
        <v>90</v>
      </c>
      <c r="F20" s="48">
        <v>0.5</v>
      </c>
      <c r="G20" s="167">
        <v>1</v>
      </c>
      <c r="H20" s="98">
        <v>1</v>
      </c>
      <c r="I20" s="45" t="s">
        <v>90</v>
      </c>
      <c r="J20" s="169">
        <f>D20*F20</f>
        <v>22.02</v>
      </c>
      <c r="K20" s="62">
        <f>D20*G20</f>
        <v>44.04</v>
      </c>
      <c r="L20" s="62">
        <f t="shared" si="0"/>
        <v>44.04</v>
      </c>
    </row>
    <row r="21" spans="1:12">
      <c r="A21" s="44" t="s">
        <v>466</v>
      </c>
      <c r="B21" s="32" t="s">
        <v>147</v>
      </c>
      <c r="C21" s="46" t="s">
        <v>155</v>
      </c>
      <c r="D21" s="168">
        <v>32.979999999999997</v>
      </c>
      <c r="E21" s="48" t="s">
        <v>90</v>
      </c>
      <c r="F21" s="48">
        <v>0.2</v>
      </c>
      <c r="G21" s="45">
        <v>0.2</v>
      </c>
      <c r="H21" s="48">
        <v>0.1</v>
      </c>
      <c r="I21" s="45" t="s">
        <v>90</v>
      </c>
      <c r="J21" s="62">
        <f>D21*F21</f>
        <v>6.5960000000000001</v>
      </c>
      <c r="K21" s="61">
        <f>D21*G21</f>
        <v>6.5960000000000001</v>
      </c>
      <c r="L21" s="62">
        <f t="shared" si="0"/>
        <v>3.298</v>
      </c>
    </row>
    <row r="22" spans="1:12">
      <c r="A22" s="44"/>
      <c r="B22" s="32"/>
      <c r="C22" s="46" t="s">
        <v>156</v>
      </c>
      <c r="D22" s="168"/>
      <c r="E22" s="62"/>
      <c r="F22" s="62"/>
      <c r="G22" s="32"/>
      <c r="H22" s="54"/>
      <c r="I22" s="45"/>
      <c r="J22" s="62"/>
      <c r="K22" s="61"/>
      <c r="L22" s="62"/>
    </row>
    <row r="23" spans="1:12">
      <c r="A23" s="44" t="s">
        <v>469</v>
      </c>
      <c r="B23" s="32" t="s">
        <v>148</v>
      </c>
      <c r="C23" s="46" t="s">
        <v>157</v>
      </c>
      <c r="D23" s="165">
        <f>(104.03+57.68)/2</f>
        <v>80.855000000000004</v>
      </c>
      <c r="E23" s="48">
        <v>0.4</v>
      </c>
      <c r="F23" s="98">
        <v>4</v>
      </c>
      <c r="G23" s="167">
        <v>4</v>
      </c>
      <c r="H23" s="98">
        <v>4</v>
      </c>
      <c r="I23" s="61">
        <f>D23*E23</f>
        <v>32.342000000000006</v>
      </c>
      <c r="J23" s="62">
        <f>D23*F23</f>
        <v>323.42</v>
      </c>
      <c r="K23" s="61">
        <f>D23*G23</f>
        <v>323.42</v>
      </c>
      <c r="L23" s="62">
        <f>D23*H23</f>
        <v>323.42</v>
      </c>
    </row>
    <row r="24" spans="1:12">
      <c r="A24" s="163"/>
      <c r="B24" s="74"/>
      <c r="C24" s="92" t="s">
        <v>158</v>
      </c>
      <c r="D24" s="90"/>
      <c r="E24" s="105"/>
      <c r="F24" s="105"/>
      <c r="G24" s="74"/>
      <c r="H24" s="34"/>
      <c r="I24" s="74"/>
      <c r="J24" s="34"/>
      <c r="K24" s="74"/>
      <c r="L24" s="34"/>
    </row>
    <row r="25" spans="1:12" ht="14.25">
      <c r="A25" s="170" t="s">
        <v>377</v>
      </c>
      <c r="B25" s="32"/>
      <c r="C25" s="45"/>
      <c r="D25" s="32"/>
      <c r="E25" s="32"/>
      <c r="F25" s="32"/>
      <c r="G25" s="32"/>
      <c r="H25" s="32"/>
      <c r="I25" s="171">
        <f>I23</f>
        <v>32.342000000000006</v>
      </c>
      <c r="J25" s="171">
        <f>SUM(J11:J24)</f>
        <v>500.702</v>
      </c>
      <c r="K25" s="171">
        <f>SUM(K11:K24)</f>
        <v>822.11500000000012</v>
      </c>
      <c r="L25" s="172">
        <f>SUM(L11:L24)</f>
        <v>769.45700000000011</v>
      </c>
    </row>
    <row r="26" spans="1:12" ht="14.25">
      <c r="A26" s="113" t="s">
        <v>378</v>
      </c>
      <c r="B26" s="74"/>
      <c r="C26" s="74"/>
      <c r="D26" s="74"/>
      <c r="E26" s="74"/>
      <c r="F26" s="74"/>
      <c r="G26" s="74"/>
      <c r="H26" s="74"/>
      <c r="I26" s="173">
        <f>I25/12</f>
        <v>2.6951666666666672</v>
      </c>
      <c r="J26" s="173">
        <f>J25/12</f>
        <v>41.725166666666667</v>
      </c>
      <c r="K26" s="173">
        <f>K25/12</f>
        <v>68.509583333333339</v>
      </c>
      <c r="L26" s="174">
        <f>L25/12</f>
        <v>64.121416666666676</v>
      </c>
    </row>
    <row r="28" spans="1:12">
      <c r="A28"/>
    </row>
    <row r="29" spans="1:12">
      <c r="A29"/>
    </row>
    <row r="30" spans="1:12">
      <c r="A30"/>
    </row>
    <row r="31" spans="1:12">
      <c r="A31"/>
    </row>
    <row r="32" spans="1:12">
      <c r="A32"/>
    </row>
    <row r="33" spans="1:1">
      <c r="A33"/>
    </row>
  </sheetData>
  <mergeCells count="3">
    <mergeCell ref="A1:L1"/>
    <mergeCell ref="I3:L3"/>
    <mergeCell ref="E3:H3"/>
  </mergeCells>
  <phoneticPr fontId="29" type="noConversion"/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75" workbookViewId="0">
      <selection activeCell="M12" sqref="M12"/>
    </sheetView>
  </sheetViews>
  <sheetFormatPr defaultRowHeight="12.75"/>
  <cols>
    <col min="1" max="1" width="4" customWidth="1"/>
    <col min="2" max="2" width="31.85546875" customWidth="1"/>
    <col min="3" max="3" width="10.42578125" customWidth="1"/>
  </cols>
  <sheetData>
    <row r="1" spans="1:11" ht="14.25">
      <c r="A1" s="350" t="s">
        <v>420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</row>
    <row r="2" spans="1:11" ht="14.25">
      <c r="A2" s="35"/>
      <c r="B2" s="35"/>
      <c r="C2" s="36"/>
      <c r="D2" s="36"/>
      <c r="E2" s="36"/>
      <c r="F2" s="36"/>
      <c r="G2" s="36"/>
      <c r="H2" s="36"/>
      <c r="I2" s="118"/>
      <c r="J2" s="118"/>
      <c r="K2" s="118"/>
    </row>
    <row r="3" spans="1:11">
      <c r="A3" s="175"/>
      <c r="B3" s="43" t="s">
        <v>141</v>
      </c>
      <c r="C3" s="41" t="s">
        <v>106</v>
      </c>
      <c r="D3" s="176" t="s">
        <v>80</v>
      </c>
      <c r="E3" s="41" t="s">
        <v>80</v>
      </c>
      <c r="F3" s="55" t="s">
        <v>163</v>
      </c>
      <c r="G3" s="55" t="s">
        <v>165</v>
      </c>
      <c r="H3" s="41" t="s">
        <v>106</v>
      </c>
      <c r="I3" s="41" t="s">
        <v>106</v>
      </c>
      <c r="J3" s="176" t="s">
        <v>106</v>
      </c>
      <c r="K3" s="41" t="s">
        <v>106</v>
      </c>
    </row>
    <row r="4" spans="1:11">
      <c r="A4" s="52" t="s">
        <v>8</v>
      </c>
      <c r="B4" s="48" t="s">
        <v>142</v>
      </c>
      <c r="C4" s="46" t="s">
        <v>601</v>
      </c>
      <c r="D4" s="128" t="s">
        <v>159</v>
      </c>
      <c r="E4" s="46" t="s">
        <v>161</v>
      </c>
      <c r="F4" s="130" t="s">
        <v>164</v>
      </c>
      <c r="G4" s="53" t="s">
        <v>166</v>
      </c>
      <c r="H4" s="46" t="s">
        <v>105</v>
      </c>
      <c r="I4" s="46" t="s">
        <v>105</v>
      </c>
      <c r="J4" s="128" t="s">
        <v>105</v>
      </c>
      <c r="K4" s="46" t="s">
        <v>105</v>
      </c>
    </row>
    <row r="5" spans="1:11">
      <c r="A5" s="52" t="s">
        <v>373</v>
      </c>
      <c r="B5" s="54"/>
      <c r="C5" s="46" t="str">
        <f>' 06(проди)'!E6</f>
        <v>за травень</v>
      </c>
      <c r="D5" s="128" t="s">
        <v>160</v>
      </c>
      <c r="E5" s="46" t="s">
        <v>160</v>
      </c>
      <c r="F5" s="130"/>
      <c r="G5" s="46" t="s">
        <v>167</v>
      </c>
      <c r="H5" s="128" t="s">
        <v>168</v>
      </c>
      <c r="I5" s="46" t="s">
        <v>168</v>
      </c>
      <c r="J5" s="53" t="s">
        <v>171</v>
      </c>
      <c r="K5" s="46" t="s">
        <v>173</v>
      </c>
    </row>
    <row r="6" spans="1:11">
      <c r="A6" s="52"/>
      <c r="B6" s="54"/>
      <c r="C6" s="46" t="str">
        <f>' 06(проди)'!E7</f>
        <v>2016 р.</v>
      </c>
      <c r="D6" s="128"/>
      <c r="E6" s="46" t="s">
        <v>162</v>
      </c>
      <c r="F6" s="130"/>
      <c r="G6" s="46" t="s">
        <v>116</v>
      </c>
      <c r="H6" s="128" t="s">
        <v>159</v>
      </c>
      <c r="I6" s="46" t="s">
        <v>161</v>
      </c>
      <c r="J6" s="130" t="s">
        <v>172</v>
      </c>
      <c r="K6" s="46" t="s">
        <v>166</v>
      </c>
    </row>
    <row r="7" spans="1:11">
      <c r="A7" s="52"/>
      <c r="B7" s="54"/>
      <c r="C7" s="46"/>
      <c r="D7" s="128"/>
      <c r="E7" s="46"/>
      <c r="F7" s="53"/>
      <c r="G7" s="46"/>
      <c r="H7" s="128" t="s">
        <v>169</v>
      </c>
      <c r="I7" s="46" t="s">
        <v>160</v>
      </c>
      <c r="J7" s="130"/>
      <c r="K7" s="46" t="s">
        <v>167</v>
      </c>
    </row>
    <row r="8" spans="1:11">
      <c r="A8" s="48"/>
      <c r="B8" s="48"/>
      <c r="C8" s="46"/>
      <c r="D8" s="128"/>
      <c r="E8" s="46"/>
      <c r="F8" s="128"/>
      <c r="G8" s="53"/>
      <c r="H8" s="46"/>
      <c r="I8" s="76" t="s">
        <v>170</v>
      </c>
      <c r="J8" s="130"/>
      <c r="K8" s="46" t="s">
        <v>174</v>
      </c>
    </row>
    <row r="9" spans="1:11">
      <c r="A9" s="34"/>
      <c r="B9" s="34"/>
      <c r="C9" s="92" t="s">
        <v>657</v>
      </c>
      <c r="D9" s="130"/>
      <c r="E9" s="92"/>
      <c r="F9" s="130"/>
      <c r="G9" s="104"/>
      <c r="H9" s="46" t="s">
        <v>657</v>
      </c>
      <c r="I9" s="46" t="s">
        <v>657</v>
      </c>
      <c r="J9" s="46" t="s">
        <v>657</v>
      </c>
      <c r="K9" s="46" t="s">
        <v>657</v>
      </c>
    </row>
    <row r="10" spans="1:11">
      <c r="A10" s="43"/>
      <c r="B10" s="43"/>
      <c r="C10" s="43"/>
      <c r="D10" s="149"/>
      <c r="E10" s="43"/>
      <c r="F10" s="42"/>
      <c r="G10" s="42"/>
      <c r="H10" s="43"/>
      <c r="I10" s="149"/>
      <c r="J10" s="43"/>
      <c r="K10" s="43"/>
    </row>
    <row r="11" spans="1:11">
      <c r="A11" s="54"/>
      <c r="B11" s="54"/>
      <c r="C11" s="48"/>
      <c r="D11" s="36"/>
      <c r="E11" s="66"/>
      <c r="F11" s="36"/>
      <c r="G11" s="48"/>
      <c r="H11" s="36"/>
      <c r="I11" s="48"/>
      <c r="J11" s="36"/>
      <c r="K11" s="48"/>
    </row>
    <row r="12" spans="1:11">
      <c r="A12" s="91">
        <v>1</v>
      </c>
      <c r="B12" s="54" t="s">
        <v>348</v>
      </c>
      <c r="C12" s="78">
        <v>2.2599999999999998</v>
      </c>
      <c r="D12" s="166" t="s">
        <v>90</v>
      </c>
      <c r="E12" s="66">
        <v>147</v>
      </c>
      <c r="F12" s="36">
        <v>524</v>
      </c>
      <c r="G12" s="48" t="s">
        <v>90</v>
      </c>
      <c r="H12" s="36" t="s">
        <v>90</v>
      </c>
      <c r="I12" s="62">
        <f>C12*E12*0.653</f>
        <v>216.93965999999998</v>
      </c>
      <c r="J12" s="177">
        <f>C12*F12*0.704</f>
        <v>833.7049599999998</v>
      </c>
      <c r="K12" s="62" t="s">
        <v>90</v>
      </c>
    </row>
    <row r="13" spans="1:11">
      <c r="A13" s="91"/>
      <c r="B13" s="54" t="s">
        <v>193</v>
      </c>
      <c r="C13" s="76"/>
      <c r="D13" s="76"/>
      <c r="E13" s="62"/>
      <c r="F13" s="36"/>
      <c r="G13" s="48"/>
      <c r="H13" s="36"/>
      <c r="I13" s="62"/>
      <c r="J13" s="177"/>
      <c r="K13" s="62"/>
    </row>
    <row r="14" spans="1:11">
      <c r="A14" s="91"/>
      <c r="B14" s="54" t="s">
        <v>194</v>
      </c>
      <c r="C14" s="76"/>
      <c r="D14" s="76"/>
      <c r="E14" s="62"/>
      <c r="F14" s="36"/>
      <c r="G14" s="48"/>
      <c r="H14" s="36"/>
      <c r="I14" s="62"/>
      <c r="J14" s="177"/>
      <c r="K14" s="62"/>
    </row>
    <row r="15" spans="1:11">
      <c r="A15" s="91"/>
      <c r="B15" s="54"/>
      <c r="C15" s="76"/>
      <c r="D15" s="76"/>
      <c r="E15" s="62"/>
      <c r="F15" s="36"/>
      <c r="G15" s="48"/>
      <c r="H15" s="36"/>
      <c r="I15" s="62"/>
      <c r="J15" s="177"/>
      <c r="K15" s="62"/>
    </row>
    <row r="16" spans="1:11">
      <c r="A16" s="91"/>
      <c r="B16" s="54"/>
      <c r="C16" s="76"/>
      <c r="D16" s="76"/>
      <c r="E16" s="62"/>
      <c r="F16" s="36"/>
      <c r="G16" s="48"/>
      <c r="H16" s="36"/>
      <c r="I16" s="62"/>
      <c r="J16" s="177"/>
      <c r="K16" s="62"/>
    </row>
    <row r="17" spans="1:11">
      <c r="A17" s="91">
        <v>2</v>
      </c>
      <c r="B17" s="54" t="s">
        <v>349</v>
      </c>
      <c r="C17" s="178">
        <f>(7.4+16.08)/2</f>
        <v>11.739999999999998</v>
      </c>
      <c r="D17" s="76" t="s">
        <v>90</v>
      </c>
      <c r="E17" s="48">
        <v>27</v>
      </c>
      <c r="F17" s="36">
        <v>95</v>
      </c>
      <c r="G17" s="48" t="s">
        <v>90</v>
      </c>
      <c r="H17" s="36" t="s">
        <v>90</v>
      </c>
      <c r="I17" s="62">
        <f>C17*E17*0.347</f>
        <v>109.99205999999998</v>
      </c>
      <c r="J17" s="177">
        <f>C17*F17*0.296</f>
        <v>330.12879999999996</v>
      </c>
      <c r="K17" s="62" t="s">
        <v>90</v>
      </c>
    </row>
    <row r="18" spans="1:11">
      <c r="A18" s="91"/>
      <c r="B18" s="54" t="s">
        <v>195</v>
      </c>
      <c r="C18" s="76"/>
      <c r="D18" s="76"/>
      <c r="E18" s="62"/>
      <c r="F18" s="36"/>
      <c r="G18" s="48"/>
      <c r="H18" s="36"/>
      <c r="I18" s="62"/>
      <c r="J18" s="177"/>
      <c r="K18" s="62"/>
    </row>
    <row r="19" spans="1:11">
      <c r="A19" s="34"/>
      <c r="B19" s="103" t="s">
        <v>196</v>
      </c>
      <c r="C19" s="34"/>
      <c r="D19" s="90"/>
      <c r="E19" s="105"/>
      <c r="F19" s="90"/>
      <c r="G19" s="105"/>
      <c r="H19" s="90"/>
      <c r="I19" s="105"/>
      <c r="J19" s="90"/>
      <c r="K19" s="105"/>
    </row>
    <row r="20" spans="1:11">
      <c r="A20" s="175"/>
      <c r="B20" s="40"/>
      <c r="C20" s="40"/>
      <c r="D20" s="149"/>
      <c r="E20" s="149"/>
      <c r="F20" s="149"/>
      <c r="G20" s="149"/>
      <c r="H20" s="149"/>
      <c r="I20" s="149"/>
      <c r="J20" s="149"/>
      <c r="K20" s="77"/>
    </row>
    <row r="21" spans="1:11" ht="14.25">
      <c r="A21" s="58" t="s">
        <v>374</v>
      </c>
      <c r="B21" s="110"/>
      <c r="C21" s="110"/>
      <c r="D21" s="138"/>
      <c r="E21" s="138"/>
      <c r="F21" s="138"/>
      <c r="G21" s="138"/>
      <c r="H21" s="138" t="s">
        <v>90</v>
      </c>
      <c r="I21" s="171">
        <f>SUM(I12:I20)</f>
        <v>326.93171999999993</v>
      </c>
      <c r="J21" s="171">
        <f>SUM(J12:J20)</f>
        <v>1163.8337599999998</v>
      </c>
      <c r="K21" s="179" t="s">
        <v>90</v>
      </c>
    </row>
    <row r="22" spans="1:11" ht="14.25">
      <c r="A22" s="180" t="s">
        <v>375</v>
      </c>
      <c r="B22" s="88"/>
      <c r="C22" s="88"/>
      <c r="D22" s="158"/>
      <c r="E22" s="158"/>
      <c r="F22" s="158"/>
      <c r="G22" s="158"/>
      <c r="H22" s="158" t="s">
        <v>90</v>
      </c>
      <c r="I22" s="173">
        <f>I21/12</f>
        <v>27.244309999999995</v>
      </c>
      <c r="J22" s="173">
        <f>J21/12</f>
        <v>96.986146666666642</v>
      </c>
      <c r="K22" s="181" t="s">
        <v>90</v>
      </c>
    </row>
  </sheetData>
  <mergeCells count="1">
    <mergeCell ref="A1:K1"/>
  </mergeCells>
  <phoneticPr fontId="29" type="noConversion"/>
  <pageMargins left="1.1499999999999999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13"/>
  <sheetViews>
    <sheetView zoomScale="80" workbookViewId="0">
      <selection activeCell="G46" sqref="G46"/>
    </sheetView>
  </sheetViews>
  <sheetFormatPr defaultRowHeight="12.75"/>
  <cols>
    <col min="1" max="1" width="28.42578125" customWidth="1"/>
    <col min="2" max="2" width="13.28515625" style="3" customWidth="1"/>
    <col min="3" max="3" width="13.85546875" style="3" customWidth="1"/>
    <col min="4" max="4" width="13" style="3" customWidth="1"/>
    <col min="5" max="5" width="12.85546875" customWidth="1"/>
    <col min="6" max="6" width="21" customWidth="1"/>
    <col min="7" max="7" width="11.85546875" customWidth="1"/>
    <col min="8" max="8" width="10" customWidth="1"/>
  </cols>
  <sheetData>
    <row r="2" spans="1:8">
      <c r="F2" s="339"/>
      <c r="G2" s="339"/>
      <c r="H2" s="339"/>
    </row>
    <row r="4" spans="1:8" ht="15.75">
      <c r="A4" s="342" t="s">
        <v>642</v>
      </c>
      <c r="B4" s="342"/>
      <c r="C4" s="342"/>
      <c r="D4" s="342"/>
      <c r="E4" s="342"/>
      <c r="F4" s="342"/>
      <c r="G4" s="342"/>
      <c r="H4" s="342"/>
    </row>
    <row r="5" spans="1:8" ht="15.75">
      <c r="A5" s="342" t="s">
        <v>667</v>
      </c>
      <c r="B5" s="342"/>
      <c r="C5" s="342"/>
      <c r="D5" s="342"/>
      <c r="E5" s="342"/>
      <c r="F5" s="342"/>
      <c r="G5" s="342"/>
      <c r="H5" s="342"/>
    </row>
    <row r="6" spans="1:8">
      <c r="A6" s="74"/>
      <c r="B6" s="90"/>
      <c r="C6" s="90"/>
      <c r="D6" s="90"/>
      <c r="E6" s="74"/>
      <c r="F6" s="74"/>
      <c r="G6" s="74"/>
      <c r="H6" s="74"/>
    </row>
    <row r="7" spans="1:8">
      <c r="A7" s="52"/>
      <c r="B7" s="343" t="s">
        <v>5</v>
      </c>
      <c r="C7" s="344"/>
      <c r="D7" s="345"/>
      <c r="E7" s="343" t="s">
        <v>639</v>
      </c>
      <c r="F7" s="344"/>
      <c r="G7" s="344"/>
      <c r="H7" s="345"/>
    </row>
    <row r="8" spans="1:8">
      <c r="A8" s="48" t="s">
        <v>0</v>
      </c>
      <c r="B8" s="36" t="s">
        <v>1</v>
      </c>
      <c r="C8" s="343" t="s">
        <v>421</v>
      </c>
      <c r="D8" s="344"/>
      <c r="E8" s="47" t="s">
        <v>1</v>
      </c>
      <c r="F8" s="42" t="s">
        <v>1</v>
      </c>
      <c r="G8" s="340" t="s">
        <v>421</v>
      </c>
      <c r="H8" s="341"/>
    </row>
    <row r="9" spans="1:8">
      <c r="A9" s="52"/>
      <c r="B9" s="47" t="s">
        <v>2</v>
      </c>
      <c r="C9" s="43" t="s">
        <v>6</v>
      </c>
      <c r="D9" s="42" t="s">
        <v>7</v>
      </c>
      <c r="E9" s="47" t="s">
        <v>2</v>
      </c>
      <c r="F9" s="47" t="s">
        <v>2</v>
      </c>
      <c r="G9" s="103"/>
      <c r="H9" s="182"/>
    </row>
    <row r="10" spans="1:8">
      <c r="A10" s="52"/>
      <c r="B10" s="47"/>
      <c r="C10" s="47"/>
      <c r="D10" s="47"/>
      <c r="E10" s="47" t="s">
        <v>365</v>
      </c>
      <c r="F10" s="47" t="s">
        <v>366</v>
      </c>
      <c r="G10" s="47" t="s">
        <v>6</v>
      </c>
      <c r="H10" s="48" t="s">
        <v>7</v>
      </c>
    </row>
    <row r="11" spans="1:8">
      <c r="A11" s="52"/>
      <c r="B11" s="47"/>
      <c r="C11" s="47"/>
      <c r="D11" s="47"/>
      <c r="E11" s="47" t="s">
        <v>367</v>
      </c>
      <c r="F11" s="48" t="s">
        <v>368</v>
      </c>
      <c r="G11" s="52"/>
      <c r="H11" s="54"/>
    </row>
    <row r="12" spans="1:8">
      <c r="A12" s="103"/>
      <c r="B12" s="114"/>
      <c r="C12" s="114"/>
      <c r="D12" s="114"/>
      <c r="E12" s="114" t="s">
        <v>369</v>
      </c>
      <c r="F12" s="114" t="s">
        <v>370</v>
      </c>
      <c r="G12" s="103"/>
      <c r="H12" s="34"/>
    </row>
    <row r="13" spans="1:8">
      <c r="A13" s="91"/>
      <c r="B13" s="45"/>
      <c r="C13" s="48"/>
      <c r="D13" s="45"/>
      <c r="E13" s="47"/>
      <c r="F13" s="98"/>
      <c r="G13" s="48"/>
      <c r="H13" s="78"/>
    </row>
    <row r="14" spans="1:8" ht="15.75">
      <c r="A14" s="183" t="s">
        <v>91</v>
      </c>
      <c r="B14" s="287">
        <f>SUM(C14:D14)</f>
        <v>2838483</v>
      </c>
      <c r="C14" s="282">
        <v>1462869</v>
      </c>
      <c r="D14" s="282">
        <v>1375614</v>
      </c>
      <c r="E14" s="316">
        <f>B14/B28*100</f>
        <v>6.6382261543186702</v>
      </c>
      <c r="F14" s="187">
        <f>B14/B18*100</f>
        <v>37.276340616785632</v>
      </c>
      <c r="G14" s="186">
        <f>C14/B14*100</f>
        <v>51.537000573898098</v>
      </c>
      <c r="H14" s="188">
        <f>D14/B14*100</f>
        <v>48.462999426101902</v>
      </c>
    </row>
    <row r="15" spans="1:8" s="12" customFormat="1" ht="18.75" customHeight="1">
      <c r="A15" s="137" t="s">
        <v>371</v>
      </c>
      <c r="B15" s="283"/>
      <c r="C15" s="284"/>
      <c r="D15" s="285"/>
      <c r="E15" s="189">
        <f>E14/100</f>
        <v>6.6382261543186702E-2</v>
      </c>
      <c r="F15" s="190"/>
      <c r="G15" s="189">
        <f>G14/100</f>
        <v>0.51537000573898095</v>
      </c>
      <c r="H15" s="192">
        <f>H14/100</f>
        <v>0.48462999426101905</v>
      </c>
    </row>
    <row r="16" spans="1:8" ht="27" customHeight="1">
      <c r="A16" s="183" t="s">
        <v>93</v>
      </c>
      <c r="B16" s="287">
        <f>SUM(C16:D16)</f>
        <v>4776221</v>
      </c>
      <c r="C16" s="282">
        <v>2453492</v>
      </c>
      <c r="D16" s="281">
        <v>2322729</v>
      </c>
      <c r="E16" s="316">
        <f>B16/B28*100</f>
        <v>11.169922511780438</v>
      </c>
      <c r="F16" s="187">
        <f>B16/B18*100</f>
        <v>62.723659383214368</v>
      </c>
      <c r="G16" s="186">
        <f>C16/B16*100</f>
        <v>51.368896037264612</v>
      </c>
      <c r="H16" s="188">
        <f>D16/B16*100</f>
        <v>48.631103962735395</v>
      </c>
    </row>
    <row r="17" spans="1:8" s="22" customFormat="1" ht="15">
      <c r="A17" s="137" t="s">
        <v>371</v>
      </c>
      <c r="B17" s="283"/>
      <c r="C17" s="286"/>
      <c r="D17" s="283"/>
      <c r="E17" s="333">
        <f>E16/100</f>
        <v>0.11169922511780438</v>
      </c>
      <c r="F17" s="191"/>
      <c r="G17" s="189">
        <f>G16/100</f>
        <v>0.51368896037264611</v>
      </c>
      <c r="H17" s="192">
        <f>H16/100</f>
        <v>0.48631103962735395</v>
      </c>
    </row>
    <row r="18" spans="1:8" ht="24" customHeight="1">
      <c r="A18" s="183" t="s">
        <v>422</v>
      </c>
      <c r="B18" s="282">
        <f>B14+B16</f>
        <v>7614704</v>
      </c>
      <c r="C18" s="282">
        <f>C14+C16</f>
        <v>3916361</v>
      </c>
      <c r="D18" s="281">
        <f>D14+D16</f>
        <v>3698343</v>
      </c>
      <c r="E18" s="316">
        <f>B18/B28*100</f>
        <v>17.808148666099108</v>
      </c>
      <c r="F18" s="279">
        <f>F14+F16</f>
        <v>100</v>
      </c>
      <c r="G18" s="183"/>
      <c r="H18" s="194"/>
    </row>
    <row r="19" spans="1:8" ht="15.75">
      <c r="A19" s="183"/>
      <c r="B19" s="281"/>
      <c r="C19" s="282"/>
      <c r="D19" s="281"/>
      <c r="E19" s="185"/>
      <c r="F19" s="193"/>
      <c r="G19" s="183"/>
      <c r="H19" s="194"/>
    </row>
    <row r="20" spans="1:8" ht="15.75">
      <c r="A20" s="183" t="s">
        <v>3</v>
      </c>
      <c r="B20" s="281"/>
      <c r="C20" s="282"/>
      <c r="D20" s="281"/>
      <c r="E20" s="185"/>
      <c r="F20" s="193"/>
      <c r="G20" s="183"/>
      <c r="H20" s="194"/>
    </row>
    <row r="21" spans="1:8" ht="15.75">
      <c r="A21" s="183" t="s">
        <v>4</v>
      </c>
      <c r="B21" s="287">
        <f>SUM(C21:D21)</f>
        <v>24815920</v>
      </c>
      <c r="C21" s="282">
        <v>12554142</v>
      </c>
      <c r="D21" s="281">
        <v>12261778</v>
      </c>
      <c r="E21" s="316">
        <f>B21/B28*100</f>
        <v>58.035820255918303</v>
      </c>
      <c r="F21" s="184">
        <v>100</v>
      </c>
      <c r="G21" s="186">
        <f>C21/B21*100</f>
        <v>50.589065406400401</v>
      </c>
      <c r="H21" s="188">
        <f>D21/B21*100</f>
        <v>49.410934593599592</v>
      </c>
    </row>
    <row r="22" spans="1:8" s="22" customFormat="1" ht="24" customHeight="1">
      <c r="A22" s="137" t="s">
        <v>372</v>
      </c>
      <c r="B22" s="283"/>
      <c r="C22" s="286"/>
      <c r="D22" s="283"/>
      <c r="E22" s="333">
        <f>E21/100</f>
        <v>0.58035820255918302</v>
      </c>
      <c r="F22" s="196"/>
      <c r="G22" s="189">
        <f>G21/100</f>
        <v>0.50589065406400402</v>
      </c>
      <c r="H22" s="192">
        <f>H21/100</f>
        <v>0.49410934593599593</v>
      </c>
    </row>
    <row r="23" spans="1:8" ht="15.75">
      <c r="A23" s="197"/>
      <c r="B23" s="288"/>
      <c r="C23" s="282"/>
      <c r="D23" s="281"/>
      <c r="E23" s="185"/>
      <c r="F23" s="184"/>
      <c r="G23" s="186"/>
      <c r="H23" s="188"/>
    </row>
    <row r="24" spans="1:8" ht="15.75">
      <c r="A24" s="183" t="s">
        <v>625</v>
      </c>
      <c r="B24" s="287">
        <f>SUM(C24:D24)</f>
        <v>10329037</v>
      </c>
      <c r="C24" s="282">
        <v>3317323</v>
      </c>
      <c r="D24" s="281">
        <v>7011714</v>
      </c>
      <c r="E24" s="316">
        <f>B24/B28*100</f>
        <v>24.156031077982586</v>
      </c>
      <c r="F24" s="184">
        <v>100</v>
      </c>
      <c r="G24" s="186">
        <f>C24/B24*100</f>
        <v>32.116479009611446</v>
      </c>
      <c r="H24" s="188">
        <f>D24/B24*100</f>
        <v>67.883520990388561</v>
      </c>
    </row>
    <row r="25" spans="1:8" ht="15.75">
      <c r="A25" s="183" t="s">
        <v>419</v>
      </c>
      <c r="B25" s="281"/>
      <c r="C25" s="282"/>
      <c r="D25" s="281"/>
      <c r="E25" s="185"/>
      <c r="F25" s="184"/>
      <c r="G25" s="186"/>
      <c r="H25" s="188"/>
    </row>
    <row r="26" spans="1:8" s="22" customFormat="1" ht="15">
      <c r="A26" s="137" t="s">
        <v>372</v>
      </c>
      <c r="B26" s="283"/>
      <c r="C26" s="286"/>
      <c r="D26" s="283"/>
      <c r="E26" s="334">
        <f>E24/100</f>
        <v>0.24156031077982587</v>
      </c>
      <c r="F26" s="196"/>
      <c r="G26" s="189">
        <f>G24/100</f>
        <v>0.32116479009611448</v>
      </c>
      <c r="H26" s="192">
        <f>H24/100</f>
        <v>0.67883520990388557</v>
      </c>
    </row>
    <row r="27" spans="1:8" s="22" customFormat="1" ht="15">
      <c r="A27" s="137"/>
      <c r="B27" s="283"/>
      <c r="C27" s="286"/>
      <c r="D27" s="283"/>
      <c r="E27" s="195"/>
      <c r="F27" s="196"/>
      <c r="G27" s="189"/>
      <c r="H27" s="192"/>
    </row>
    <row r="28" spans="1:8" ht="15.75">
      <c r="A28" s="183" t="s">
        <v>423</v>
      </c>
      <c r="B28" s="281">
        <f>B18+B21+B24</f>
        <v>42759661</v>
      </c>
      <c r="C28" s="282">
        <f>C18+C21+C24</f>
        <v>19787826</v>
      </c>
      <c r="D28" s="281">
        <f>D18+D21+D24</f>
        <v>22971835</v>
      </c>
      <c r="E28" s="280">
        <f>E14+E16+E21+E24</f>
        <v>100</v>
      </c>
      <c r="F28" s="184"/>
      <c r="G28" s="186">
        <f>C28/B28*100</f>
        <v>46.276854252890359</v>
      </c>
      <c r="H28" s="188">
        <f>D28/B28*100</f>
        <v>53.723145747109648</v>
      </c>
    </row>
    <row r="29" spans="1:8" ht="15.75">
      <c r="A29" s="198"/>
      <c r="B29" s="199"/>
      <c r="C29" s="200"/>
      <c r="D29" s="199"/>
      <c r="E29" s="198"/>
      <c r="F29" s="201"/>
      <c r="G29" s="198"/>
      <c r="H29" s="198"/>
    </row>
    <row r="30" spans="1:8">
      <c r="A30" s="35"/>
      <c r="B30" s="36"/>
      <c r="C30" s="36"/>
      <c r="D30" s="36"/>
      <c r="E30" s="35"/>
      <c r="F30" s="35"/>
      <c r="G30" s="35"/>
      <c r="H30" s="35"/>
    </row>
    <row r="31" spans="1:8">
      <c r="A31" s="35"/>
      <c r="B31" s="36"/>
      <c r="C31" s="36"/>
      <c r="D31" s="36"/>
      <c r="E31" s="35"/>
      <c r="F31" s="35"/>
      <c r="G31" s="35"/>
      <c r="H31" s="35"/>
    </row>
    <row r="32" spans="1:8">
      <c r="B32"/>
      <c r="C32"/>
      <c r="D32"/>
    </row>
    <row r="33" spans="2:4" ht="25.5" customHeight="1">
      <c r="B33"/>
      <c r="C33"/>
      <c r="D33"/>
    </row>
    <row r="34" spans="2:4">
      <c r="B34"/>
      <c r="C34"/>
      <c r="D34"/>
    </row>
    <row r="35" spans="2:4">
      <c r="B35"/>
      <c r="C35"/>
      <c r="D35"/>
    </row>
    <row r="36" spans="2:4">
      <c r="B36"/>
      <c r="C36"/>
      <c r="D36"/>
    </row>
    <row r="37" spans="2:4">
      <c r="B37"/>
      <c r="C37"/>
      <c r="D37"/>
    </row>
    <row r="38" spans="2:4">
      <c r="B38"/>
      <c r="C38"/>
      <c r="D38"/>
    </row>
    <row r="39" spans="2:4">
      <c r="B39"/>
      <c r="C39"/>
      <c r="D39"/>
    </row>
    <row r="40" spans="2:4">
      <c r="B40"/>
      <c r="C40"/>
      <c r="D40"/>
    </row>
    <row r="41" spans="2:4">
      <c r="B41"/>
      <c r="C41"/>
      <c r="D41"/>
    </row>
    <row r="42" spans="2:4">
      <c r="B42"/>
      <c r="C42"/>
      <c r="D42"/>
    </row>
    <row r="43" spans="2:4">
      <c r="B43"/>
      <c r="C43"/>
      <c r="D43"/>
    </row>
    <row r="44" spans="2:4">
      <c r="B44"/>
      <c r="C44"/>
      <c r="D44"/>
    </row>
    <row r="45" spans="2:4">
      <c r="B45"/>
      <c r="C45"/>
      <c r="D45"/>
    </row>
    <row r="46" spans="2:4">
      <c r="B46"/>
      <c r="C46"/>
      <c r="D46"/>
    </row>
    <row r="47" spans="2:4">
      <c r="B47"/>
      <c r="C47"/>
      <c r="D47"/>
    </row>
    <row r="48" spans="2:4">
      <c r="B48"/>
      <c r="C48"/>
      <c r="D48"/>
    </row>
    <row r="49" spans="2:4">
      <c r="B49"/>
      <c r="C49"/>
      <c r="D49"/>
    </row>
    <row r="50" spans="2:4">
      <c r="B50"/>
      <c r="C50"/>
      <c r="D50"/>
    </row>
    <row r="51" spans="2:4">
      <c r="B51"/>
      <c r="C51"/>
      <c r="D51"/>
    </row>
    <row r="52" spans="2:4" ht="18.75" customHeight="1">
      <c r="B52"/>
      <c r="C52"/>
      <c r="D52"/>
    </row>
    <row r="53" spans="2:4">
      <c r="B53"/>
      <c r="C53"/>
      <c r="D53"/>
    </row>
    <row r="54" spans="2:4">
      <c r="B54"/>
      <c r="C54"/>
      <c r="D54"/>
    </row>
    <row r="55" spans="2:4">
      <c r="B55"/>
      <c r="C55"/>
      <c r="D55"/>
    </row>
    <row r="56" spans="2:4">
      <c r="B56"/>
      <c r="C56"/>
      <c r="D56"/>
    </row>
    <row r="57" spans="2:4">
      <c r="B57"/>
      <c r="C57"/>
      <c r="D57"/>
    </row>
    <row r="58" spans="2:4">
      <c r="B58"/>
      <c r="C58"/>
      <c r="D58"/>
    </row>
    <row r="59" spans="2:4">
      <c r="B59"/>
      <c r="C59"/>
      <c r="D59"/>
    </row>
    <row r="60" spans="2:4">
      <c r="B60"/>
      <c r="C60"/>
      <c r="D60"/>
    </row>
    <row r="61" spans="2:4">
      <c r="B61"/>
      <c r="C61"/>
      <c r="D61"/>
    </row>
    <row r="62" spans="2:4">
      <c r="B62"/>
      <c r="C62"/>
      <c r="D62"/>
    </row>
    <row r="63" spans="2:4">
      <c r="B63"/>
      <c r="C63"/>
      <c r="D63"/>
    </row>
    <row r="64" spans="2:4">
      <c r="B64"/>
      <c r="C64"/>
      <c r="D64"/>
    </row>
    <row r="65" spans="2:4">
      <c r="B65"/>
      <c r="C65"/>
      <c r="D65"/>
    </row>
    <row r="66" spans="2:4">
      <c r="B66"/>
      <c r="C66"/>
      <c r="D66"/>
    </row>
    <row r="67" spans="2:4">
      <c r="B67"/>
      <c r="C67"/>
      <c r="D67"/>
    </row>
    <row r="68" spans="2:4">
      <c r="B68"/>
      <c r="C68"/>
      <c r="D68"/>
    </row>
    <row r="69" spans="2:4">
      <c r="B69"/>
      <c r="C69"/>
      <c r="D69"/>
    </row>
    <row r="70" spans="2:4">
      <c r="B70"/>
      <c r="C70"/>
      <c r="D70"/>
    </row>
    <row r="71" spans="2:4">
      <c r="B71"/>
      <c r="C71"/>
      <c r="D71"/>
    </row>
    <row r="72" spans="2:4">
      <c r="B72"/>
      <c r="C72"/>
      <c r="D72"/>
    </row>
    <row r="73" spans="2:4">
      <c r="B73"/>
      <c r="C73"/>
      <c r="D73"/>
    </row>
    <row r="74" spans="2:4">
      <c r="B74"/>
      <c r="C74"/>
      <c r="D74"/>
    </row>
    <row r="75" spans="2:4">
      <c r="B75"/>
      <c r="C75"/>
      <c r="D75"/>
    </row>
    <row r="76" spans="2:4">
      <c r="B76"/>
      <c r="C76"/>
      <c r="D76"/>
    </row>
    <row r="77" spans="2:4">
      <c r="B77"/>
      <c r="C77"/>
      <c r="D77"/>
    </row>
    <row r="78" spans="2:4">
      <c r="B78"/>
      <c r="C78"/>
      <c r="D78"/>
    </row>
    <row r="79" spans="2:4">
      <c r="B79"/>
      <c r="C79"/>
      <c r="D79"/>
    </row>
    <row r="80" spans="2:4">
      <c r="B80"/>
      <c r="C80"/>
      <c r="D80"/>
    </row>
    <row r="81" spans="2:4">
      <c r="B81"/>
      <c r="C81"/>
      <c r="D81"/>
    </row>
    <row r="82" spans="2:4">
      <c r="B82"/>
      <c r="C82"/>
      <c r="D82"/>
    </row>
    <row r="83" spans="2:4">
      <c r="B83"/>
      <c r="C83"/>
      <c r="D83"/>
    </row>
    <row r="84" spans="2:4">
      <c r="B84"/>
      <c r="C84"/>
      <c r="D84"/>
    </row>
    <row r="85" spans="2:4">
      <c r="B85"/>
      <c r="C85"/>
      <c r="D85"/>
    </row>
    <row r="86" spans="2:4">
      <c r="B86"/>
      <c r="C86"/>
      <c r="D86"/>
    </row>
    <row r="87" spans="2:4">
      <c r="B87"/>
      <c r="C87"/>
      <c r="D87"/>
    </row>
    <row r="88" spans="2:4">
      <c r="B88"/>
      <c r="C88"/>
      <c r="D88"/>
    </row>
    <row r="89" spans="2:4">
      <c r="B89"/>
      <c r="C89"/>
      <c r="D89"/>
    </row>
    <row r="90" spans="2:4">
      <c r="B90"/>
      <c r="C90"/>
      <c r="D90"/>
    </row>
    <row r="91" spans="2:4">
      <c r="B91"/>
      <c r="C91"/>
      <c r="D91"/>
    </row>
    <row r="92" spans="2:4">
      <c r="B92"/>
      <c r="C92"/>
      <c r="D92"/>
    </row>
    <row r="93" spans="2:4">
      <c r="B93"/>
      <c r="C93"/>
      <c r="D93"/>
    </row>
    <row r="94" spans="2:4">
      <c r="B94"/>
      <c r="C94"/>
      <c r="D94"/>
    </row>
    <row r="95" spans="2:4">
      <c r="B95"/>
      <c r="C95"/>
      <c r="D95"/>
    </row>
    <row r="96" spans="2:4">
      <c r="B96"/>
      <c r="C96"/>
      <c r="D96"/>
    </row>
    <row r="97" spans="2:4">
      <c r="B97"/>
      <c r="C97"/>
      <c r="D97"/>
    </row>
    <row r="98" spans="2:4">
      <c r="B98"/>
      <c r="C98"/>
      <c r="D98"/>
    </row>
    <row r="99" spans="2:4">
      <c r="B99"/>
      <c r="C99"/>
      <c r="D99"/>
    </row>
    <row r="100" spans="2:4">
      <c r="B100"/>
      <c r="C100"/>
      <c r="D100"/>
    </row>
    <row r="101" spans="2:4">
      <c r="B101"/>
      <c r="C101"/>
      <c r="D101"/>
    </row>
    <row r="102" spans="2:4">
      <c r="B102"/>
      <c r="C102"/>
      <c r="D102"/>
    </row>
    <row r="103" spans="2:4">
      <c r="B103"/>
      <c r="C103"/>
      <c r="D103"/>
    </row>
    <row r="104" spans="2:4">
      <c r="B104"/>
      <c r="C104"/>
      <c r="D104"/>
    </row>
    <row r="105" spans="2:4">
      <c r="B105"/>
      <c r="C105"/>
      <c r="D105"/>
    </row>
    <row r="106" spans="2:4">
      <c r="B106"/>
      <c r="C106"/>
      <c r="D106"/>
    </row>
    <row r="107" spans="2:4">
      <c r="B107"/>
      <c r="C107"/>
      <c r="D107"/>
    </row>
    <row r="108" spans="2:4">
      <c r="B108"/>
      <c r="C108"/>
      <c r="D108"/>
    </row>
    <row r="109" spans="2:4">
      <c r="B109"/>
      <c r="C109"/>
      <c r="D109"/>
    </row>
    <row r="110" spans="2:4">
      <c r="B110"/>
      <c r="C110"/>
      <c r="D110"/>
    </row>
    <row r="111" spans="2:4">
      <c r="B111"/>
      <c r="C111"/>
      <c r="D111"/>
    </row>
    <row r="112" spans="2:4">
      <c r="B112"/>
      <c r="C112"/>
      <c r="D112"/>
    </row>
    <row r="113" spans="2:4">
      <c r="B113"/>
      <c r="C113"/>
      <c r="D113"/>
    </row>
    <row r="114" spans="2:4">
      <c r="B114"/>
      <c r="C114"/>
      <c r="D114"/>
    </row>
    <row r="115" spans="2:4">
      <c r="B115"/>
      <c r="C115"/>
      <c r="D115"/>
    </row>
    <row r="116" spans="2:4">
      <c r="B116"/>
      <c r="C116"/>
      <c r="D116"/>
    </row>
    <row r="117" spans="2:4">
      <c r="B117"/>
      <c r="C117"/>
      <c r="D117"/>
    </row>
    <row r="118" spans="2:4">
      <c r="B118"/>
      <c r="C118"/>
      <c r="D118"/>
    </row>
    <row r="119" spans="2:4">
      <c r="B119"/>
      <c r="C119"/>
      <c r="D119"/>
    </row>
    <row r="120" spans="2:4">
      <c r="B120"/>
      <c r="C120"/>
      <c r="D120"/>
    </row>
    <row r="121" spans="2:4">
      <c r="B121"/>
      <c r="C121"/>
      <c r="D121"/>
    </row>
    <row r="122" spans="2:4">
      <c r="B122"/>
      <c r="C122"/>
      <c r="D122"/>
    </row>
    <row r="123" spans="2:4">
      <c r="B123"/>
      <c r="C123"/>
      <c r="D123"/>
    </row>
    <row r="124" spans="2:4">
      <c r="B124"/>
      <c r="C124"/>
      <c r="D124"/>
    </row>
    <row r="125" spans="2:4">
      <c r="B125"/>
      <c r="C125"/>
      <c r="D125"/>
    </row>
    <row r="126" spans="2:4">
      <c r="B126"/>
      <c r="C126"/>
      <c r="D126"/>
    </row>
    <row r="127" spans="2:4">
      <c r="B127"/>
      <c r="C127"/>
      <c r="D127"/>
    </row>
    <row r="128" spans="2:4">
      <c r="B128"/>
      <c r="C128"/>
      <c r="D128"/>
    </row>
    <row r="129" spans="2:4">
      <c r="B129"/>
      <c r="C129"/>
      <c r="D129"/>
    </row>
    <row r="130" spans="2:4">
      <c r="B130"/>
      <c r="C130"/>
      <c r="D130"/>
    </row>
    <row r="131" spans="2:4">
      <c r="B131"/>
      <c r="C131"/>
      <c r="D131"/>
    </row>
    <row r="132" spans="2:4">
      <c r="B132"/>
      <c r="C132"/>
      <c r="D132"/>
    </row>
    <row r="133" spans="2:4">
      <c r="B133"/>
      <c r="C133"/>
      <c r="D133"/>
    </row>
    <row r="134" spans="2:4">
      <c r="B134"/>
      <c r="C134"/>
      <c r="D134"/>
    </row>
    <row r="135" spans="2:4">
      <c r="B135"/>
      <c r="C135"/>
      <c r="D135"/>
    </row>
    <row r="136" spans="2:4">
      <c r="B136"/>
      <c r="C136"/>
      <c r="D136"/>
    </row>
    <row r="137" spans="2:4">
      <c r="B137"/>
      <c r="C137"/>
      <c r="D137"/>
    </row>
    <row r="138" spans="2:4">
      <c r="B138"/>
      <c r="C138"/>
      <c r="D138"/>
    </row>
    <row r="139" spans="2:4">
      <c r="B139"/>
      <c r="C139"/>
      <c r="D139"/>
    </row>
    <row r="140" spans="2:4">
      <c r="B140"/>
      <c r="C140"/>
      <c r="D140"/>
    </row>
    <row r="141" spans="2:4">
      <c r="B141"/>
      <c r="C141"/>
      <c r="D141"/>
    </row>
    <row r="142" spans="2:4">
      <c r="B142"/>
      <c r="C142"/>
      <c r="D142"/>
    </row>
    <row r="143" spans="2:4">
      <c r="B143"/>
      <c r="C143"/>
      <c r="D143"/>
    </row>
    <row r="144" spans="2:4">
      <c r="B144"/>
      <c r="C144"/>
      <c r="D144"/>
    </row>
    <row r="145" spans="2:4">
      <c r="B145"/>
      <c r="C145"/>
      <c r="D145"/>
    </row>
    <row r="146" spans="2:4">
      <c r="B146"/>
      <c r="C146"/>
      <c r="D146"/>
    </row>
    <row r="147" spans="2:4">
      <c r="B147"/>
      <c r="C147"/>
      <c r="D147"/>
    </row>
    <row r="148" spans="2:4">
      <c r="B148"/>
      <c r="C148"/>
      <c r="D148"/>
    </row>
    <row r="149" spans="2:4">
      <c r="B149"/>
      <c r="C149"/>
      <c r="D149"/>
    </row>
    <row r="150" spans="2:4">
      <c r="B150"/>
      <c r="C150"/>
      <c r="D150"/>
    </row>
    <row r="151" spans="2:4">
      <c r="B151"/>
      <c r="C151"/>
      <c r="D151"/>
    </row>
    <row r="152" spans="2:4">
      <c r="B152"/>
      <c r="C152"/>
      <c r="D152"/>
    </row>
    <row r="153" spans="2:4">
      <c r="B153"/>
      <c r="C153"/>
      <c r="D153"/>
    </row>
    <row r="154" spans="2:4">
      <c r="B154"/>
      <c r="C154"/>
      <c r="D154"/>
    </row>
    <row r="155" spans="2:4">
      <c r="B155"/>
      <c r="C155"/>
      <c r="D155"/>
    </row>
    <row r="156" spans="2:4">
      <c r="B156"/>
      <c r="C156"/>
      <c r="D156"/>
    </row>
    <row r="157" spans="2:4">
      <c r="B157"/>
      <c r="C157"/>
      <c r="D157"/>
    </row>
    <row r="158" spans="2:4">
      <c r="B158"/>
      <c r="C158"/>
      <c r="D158"/>
    </row>
    <row r="159" spans="2:4">
      <c r="B159"/>
      <c r="C159"/>
      <c r="D159"/>
    </row>
    <row r="160" spans="2:4">
      <c r="B160"/>
      <c r="C160"/>
      <c r="D160"/>
    </row>
    <row r="161" spans="2:4">
      <c r="B161"/>
      <c r="C161"/>
      <c r="D161"/>
    </row>
    <row r="162" spans="2:4">
      <c r="B162"/>
      <c r="C162"/>
      <c r="D162"/>
    </row>
    <row r="163" spans="2:4">
      <c r="B163"/>
      <c r="C163"/>
      <c r="D163"/>
    </row>
    <row r="164" spans="2:4">
      <c r="B164"/>
      <c r="C164"/>
      <c r="D164"/>
    </row>
    <row r="165" spans="2:4">
      <c r="B165"/>
      <c r="C165"/>
      <c r="D165"/>
    </row>
    <row r="166" spans="2:4">
      <c r="B166"/>
      <c r="C166"/>
      <c r="D166"/>
    </row>
    <row r="167" spans="2:4">
      <c r="B167"/>
      <c r="C167"/>
      <c r="D167"/>
    </row>
    <row r="168" spans="2:4">
      <c r="B168"/>
      <c r="C168"/>
      <c r="D168"/>
    </row>
    <row r="169" spans="2:4">
      <c r="B169"/>
      <c r="C169"/>
      <c r="D169"/>
    </row>
    <row r="170" spans="2:4">
      <c r="B170"/>
      <c r="C170"/>
      <c r="D170"/>
    </row>
    <row r="171" spans="2:4">
      <c r="B171"/>
      <c r="C171"/>
      <c r="D171"/>
    </row>
    <row r="172" spans="2:4">
      <c r="B172"/>
      <c r="C172"/>
      <c r="D172"/>
    </row>
    <row r="173" spans="2:4">
      <c r="B173"/>
      <c r="C173"/>
      <c r="D173"/>
    </row>
    <row r="174" spans="2:4">
      <c r="B174"/>
      <c r="C174"/>
      <c r="D174"/>
    </row>
    <row r="175" spans="2:4">
      <c r="B175"/>
      <c r="C175"/>
      <c r="D175"/>
    </row>
    <row r="176" spans="2:4">
      <c r="B176"/>
      <c r="C176"/>
      <c r="D176"/>
    </row>
    <row r="177" spans="2:4">
      <c r="B177"/>
      <c r="C177"/>
      <c r="D177"/>
    </row>
    <row r="178" spans="2:4">
      <c r="B178"/>
      <c r="C178"/>
      <c r="D178"/>
    </row>
    <row r="179" spans="2:4">
      <c r="B179"/>
      <c r="C179"/>
      <c r="D179"/>
    </row>
    <row r="180" spans="2:4">
      <c r="B180"/>
      <c r="C180"/>
      <c r="D180"/>
    </row>
    <row r="181" spans="2:4">
      <c r="B181"/>
      <c r="C181"/>
      <c r="D181"/>
    </row>
    <row r="182" spans="2:4">
      <c r="B182"/>
      <c r="C182"/>
      <c r="D182"/>
    </row>
    <row r="183" spans="2:4">
      <c r="B183"/>
      <c r="C183"/>
      <c r="D183"/>
    </row>
    <row r="184" spans="2:4">
      <c r="B184"/>
      <c r="C184"/>
      <c r="D184"/>
    </row>
    <row r="185" spans="2:4">
      <c r="B185"/>
      <c r="C185"/>
      <c r="D185"/>
    </row>
    <row r="186" spans="2:4">
      <c r="B186"/>
      <c r="C186"/>
      <c r="D186"/>
    </row>
    <row r="187" spans="2:4">
      <c r="B187"/>
      <c r="C187"/>
      <c r="D187"/>
    </row>
    <row r="188" spans="2:4">
      <c r="B188"/>
      <c r="C188"/>
      <c r="D188"/>
    </row>
    <row r="189" spans="2:4">
      <c r="B189"/>
      <c r="C189"/>
      <c r="D189"/>
    </row>
    <row r="190" spans="2:4">
      <c r="B190"/>
      <c r="C190"/>
      <c r="D190"/>
    </row>
    <row r="191" spans="2:4">
      <c r="B191"/>
      <c r="C191"/>
      <c r="D191"/>
    </row>
    <row r="192" spans="2:4">
      <c r="B192"/>
      <c r="C192"/>
      <c r="D192"/>
    </row>
    <row r="193" spans="2:4">
      <c r="B193"/>
      <c r="C193"/>
      <c r="D193"/>
    </row>
    <row r="194" spans="2:4">
      <c r="B194"/>
      <c r="C194"/>
      <c r="D194"/>
    </row>
    <row r="195" spans="2:4">
      <c r="B195"/>
      <c r="C195"/>
      <c r="D195"/>
    </row>
    <row r="196" spans="2:4">
      <c r="B196"/>
      <c r="C196"/>
      <c r="D196"/>
    </row>
    <row r="197" spans="2:4">
      <c r="B197"/>
      <c r="C197"/>
      <c r="D197"/>
    </row>
    <row r="198" spans="2:4">
      <c r="B198"/>
      <c r="C198"/>
      <c r="D198"/>
    </row>
    <row r="199" spans="2:4">
      <c r="B199"/>
      <c r="C199"/>
      <c r="D199"/>
    </row>
    <row r="200" spans="2:4">
      <c r="B200"/>
      <c r="C200"/>
      <c r="D200"/>
    </row>
    <row r="201" spans="2:4">
      <c r="B201"/>
      <c r="C201"/>
      <c r="D201"/>
    </row>
    <row r="202" spans="2:4">
      <c r="B202"/>
      <c r="C202"/>
      <c r="D202"/>
    </row>
    <row r="203" spans="2:4">
      <c r="B203"/>
      <c r="C203"/>
      <c r="D203"/>
    </row>
    <row r="204" spans="2:4">
      <c r="B204"/>
      <c r="C204"/>
      <c r="D204"/>
    </row>
    <row r="205" spans="2:4">
      <c r="B205"/>
      <c r="C205"/>
      <c r="D205"/>
    </row>
    <row r="206" spans="2:4">
      <c r="B206"/>
      <c r="C206"/>
      <c r="D206"/>
    </row>
    <row r="207" spans="2:4">
      <c r="B207"/>
      <c r="C207"/>
      <c r="D207"/>
    </row>
    <row r="208" spans="2:4">
      <c r="B208"/>
      <c r="C208"/>
      <c r="D208"/>
    </row>
    <row r="209" spans="2:4">
      <c r="B209"/>
      <c r="C209"/>
      <c r="D209"/>
    </row>
    <row r="210" spans="2:4">
      <c r="B210"/>
      <c r="C210"/>
      <c r="D210"/>
    </row>
    <row r="211" spans="2:4">
      <c r="B211"/>
      <c r="C211"/>
      <c r="D211"/>
    </row>
    <row r="212" spans="2:4">
      <c r="B212"/>
      <c r="C212"/>
      <c r="D212"/>
    </row>
    <row r="213" spans="2:4">
      <c r="B213"/>
      <c r="C213"/>
      <c r="D213"/>
    </row>
  </sheetData>
  <mergeCells count="7">
    <mergeCell ref="F2:H2"/>
    <mergeCell ref="G8:H8"/>
    <mergeCell ref="A4:H4"/>
    <mergeCell ref="A5:H5"/>
    <mergeCell ref="B7:D7"/>
    <mergeCell ref="E7:H7"/>
    <mergeCell ref="C8:D8"/>
  </mergeCells>
  <phoneticPr fontId="29" type="noConversion"/>
  <pageMargins left="1.45" right="0.31" top="0.5" bottom="0.18" header="0.17" footer="0.17"/>
  <pageSetup paperSize="9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5"/>
  <sheetViews>
    <sheetView topLeftCell="A22" zoomScale="69" zoomScaleNormal="69" workbookViewId="0">
      <selection activeCell="F71" sqref="F71:F72"/>
    </sheetView>
  </sheetViews>
  <sheetFormatPr defaultRowHeight="12.75"/>
  <cols>
    <col min="1" max="1" width="5.42578125" style="24" customWidth="1"/>
    <col min="2" max="2" width="32" customWidth="1"/>
    <col min="3" max="3" width="8.85546875" customWidth="1"/>
    <col min="4" max="4" width="16.7109375" customWidth="1"/>
    <col min="5" max="5" width="10.7109375" customWidth="1"/>
    <col min="6" max="6" width="14.5703125" bestFit="1" customWidth="1"/>
    <col min="7" max="7" width="8.42578125" customWidth="1"/>
    <col min="8" max="8" width="7.5703125" customWidth="1"/>
    <col min="10" max="10" width="1.5703125" customWidth="1"/>
    <col min="11" max="14" width="9.140625" hidden="1" customWidth="1"/>
    <col min="15" max="15" width="1.140625" customWidth="1"/>
    <col min="16" max="17" width="9.140625" hidden="1" customWidth="1"/>
    <col min="19" max="19" width="6.7109375" customWidth="1"/>
    <col min="20" max="22" width="9.140625" hidden="1" customWidth="1"/>
    <col min="24" max="24" width="1.28515625" customWidth="1"/>
    <col min="25" max="25" width="9.140625" hidden="1" customWidth="1"/>
  </cols>
  <sheetData>
    <row r="1" spans="1:7" ht="15.75">
      <c r="A1" s="346" t="s">
        <v>410</v>
      </c>
      <c r="B1" s="346"/>
      <c r="C1" s="346"/>
      <c r="D1" s="346"/>
      <c r="E1" s="346"/>
      <c r="F1" s="346"/>
    </row>
    <row r="2" spans="1:7" ht="13.5" customHeight="1">
      <c r="A2" s="346" t="s">
        <v>656</v>
      </c>
      <c r="B2" s="346"/>
      <c r="C2" s="346"/>
      <c r="D2" s="346"/>
      <c r="E2" s="346"/>
      <c r="F2" s="346"/>
    </row>
    <row r="3" spans="1:7" ht="8.25" customHeight="1">
      <c r="A3" s="37"/>
      <c r="B3" s="35"/>
      <c r="C3" s="38"/>
      <c r="D3" s="38"/>
      <c r="E3" s="38"/>
      <c r="F3" s="38"/>
    </row>
    <row r="4" spans="1:7">
      <c r="A4" s="39" t="s">
        <v>42</v>
      </c>
      <c r="B4" s="40"/>
      <c r="C4" s="41" t="s">
        <v>92</v>
      </c>
      <c r="D4" s="42" t="s">
        <v>313</v>
      </c>
      <c r="E4" s="41" t="s">
        <v>94</v>
      </c>
      <c r="F4" s="77" t="s">
        <v>107</v>
      </c>
    </row>
    <row r="5" spans="1:7">
      <c r="A5" s="44" t="s">
        <v>373</v>
      </c>
      <c r="B5" s="45" t="s">
        <v>308</v>
      </c>
      <c r="C5" s="46" t="s">
        <v>81</v>
      </c>
      <c r="D5" s="47" t="s">
        <v>240</v>
      </c>
      <c r="E5" s="46" t="s">
        <v>95</v>
      </c>
      <c r="F5" s="78" t="s">
        <v>105</v>
      </c>
    </row>
    <row r="6" spans="1:7">
      <c r="A6" s="49"/>
      <c r="B6" s="32"/>
      <c r="C6" s="46"/>
      <c r="D6" s="47" t="s">
        <v>627</v>
      </c>
      <c r="E6" s="46" t="s">
        <v>632</v>
      </c>
      <c r="F6" s="78"/>
    </row>
    <row r="7" spans="1:7" ht="12.75" customHeight="1">
      <c r="A7" s="49"/>
      <c r="B7" s="32"/>
      <c r="C7" s="46"/>
      <c r="D7" s="47" t="s">
        <v>178</v>
      </c>
      <c r="E7" s="50" t="s">
        <v>669</v>
      </c>
      <c r="F7" s="76"/>
    </row>
    <row r="8" spans="1:7" ht="12.75" customHeight="1">
      <c r="A8" s="51"/>
      <c r="B8" s="52"/>
      <c r="C8" s="46"/>
      <c r="D8" s="53"/>
      <c r="E8" s="50" t="s">
        <v>657</v>
      </c>
      <c r="F8" s="50" t="s">
        <v>657</v>
      </c>
    </row>
    <row r="9" spans="1:7" ht="8.25" customHeight="1">
      <c r="A9" s="51"/>
      <c r="B9" s="52"/>
      <c r="C9" s="46"/>
      <c r="D9" s="53"/>
      <c r="E9" s="1"/>
      <c r="F9" s="21"/>
    </row>
    <row r="10" spans="1:7" ht="13.5" customHeight="1">
      <c r="A10" s="39"/>
      <c r="B10" s="42"/>
      <c r="C10" s="55"/>
      <c r="D10" s="56"/>
      <c r="E10" s="42"/>
      <c r="F10" s="43"/>
    </row>
    <row r="11" spans="1:7" s="12" customFormat="1" ht="15">
      <c r="A11" s="57">
        <v>1</v>
      </c>
      <c r="B11" s="58" t="s">
        <v>315</v>
      </c>
      <c r="C11" s="59"/>
      <c r="D11" s="59"/>
      <c r="E11" s="60"/>
      <c r="F11" s="59"/>
      <c r="G11"/>
    </row>
    <row r="12" spans="1:7" s="85" customFormat="1">
      <c r="A12" s="49" t="s">
        <v>424</v>
      </c>
      <c r="B12" s="52" t="s">
        <v>48</v>
      </c>
      <c r="C12" s="48" t="s">
        <v>87</v>
      </c>
      <c r="D12" s="48">
        <v>29.2</v>
      </c>
      <c r="E12" s="61">
        <v>12.48</v>
      </c>
      <c r="F12" s="62">
        <f t="shared" ref="F12:F24" si="0">E12*D12</f>
        <v>364.416</v>
      </c>
    </row>
    <row r="13" spans="1:7" s="85" customFormat="1">
      <c r="A13" s="49" t="s">
        <v>425</v>
      </c>
      <c r="B13" s="52" t="s">
        <v>49</v>
      </c>
      <c r="C13" s="48" t="s">
        <v>87</v>
      </c>
      <c r="D13" s="48">
        <v>14.6</v>
      </c>
      <c r="E13" s="61">
        <v>11.67</v>
      </c>
      <c r="F13" s="62">
        <f t="shared" si="0"/>
        <v>170.38200000000001</v>
      </c>
    </row>
    <row r="14" spans="1:7" s="85" customFormat="1">
      <c r="A14" s="49" t="s">
        <v>426</v>
      </c>
      <c r="B14" s="52" t="s">
        <v>120</v>
      </c>
      <c r="C14" s="48" t="s">
        <v>87</v>
      </c>
      <c r="D14" s="48">
        <v>4.5999999999999996</v>
      </c>
      <c r="E14" s="61">
        <v>9.1300000000000008</v>
      </c>
      <c r="F14" s="62">
        <f t="shared" si="0"/>
        <v>41.997999999999998</v>
      </c>
    </row>
    <row r="15" spans="1:7" s="85" customFormat="1">
      <c r="A15" s="49" t="s">
        <v>427</v>
      </c>
      <c r="B15" s="52" t="s">
        <v>50</v>
      </c>
      <c r="C15" s="48" t="s">
        <v>87</v>
      </c>
      <c r="D15" s="48">
        <v>2.9</v>
      </c>
      <c r="E15" s="61">
        <v>15.57</v>
      </c>
      <c r="F15" s="62">
        <f t="shared" si="0"/>
        <v>45.152999999999999</v>
      </c>
    </row>
    <row r="16" spans="1:7" s="85" customFormat="1">
      <c r="A16" s="49" t="s">
        <v>428</v>
      </c>
      <c r="B16" s="52" t="s">
        <v>47</v>
      </c>
      <c r="C16" s="48" t="s">
        <v>87</v>
      </c>
      <c r="D16" s="48">
        <v>1.3</v>
      </c>
      <c r="E16" s="61">
        <v>21.99</v>
      </c>
      <c r="F16" s="62">
        <f t="shared" si="0"/>
        <v>28.587</v>
      </c>
    </row>
    <row r="17" spans="1:7" s="85" customFormat="1">
      <c r="A17" s="49" t="s">
        <v>429</v>
      </c>
      <c r="B17" s="52" t="s">
        <v>121</v>
      </c>
      <c r="C17" s="48" t="s">
        <v>87</v>
      </c>
      <c r="D17" s="48">
        <v>0.9</v>
      </c>
      <c r="E17" s="61">
        <v>10.64</v>
      </c>
      <c r="F17" s="62">
        <f>E17*D17</f>
        <v>9.5760000000000005</v>
      </c>
    </row>
    <row r="18" spans="1:7" s="85" customFormat="1">
      <c r="A18" s="49" t="s">
        <v>430</v>
      </c>
      <c r="B18" s="52" t="s">
        <v>122</v>
      </c>
      <c r="C18" s="48" t="s">
        <v>87</v>
      </c>
      <c r="D18" s="48">
        <v>1.7</v>
      </c>
      <c r="E18" s="61">
        <v>11.19</v>
      </c>
      <c r="F18" s="62">
        <f t="shared" si="0"/>
        <v>19.023</v>
      </c>
    </row>
    <row r="19" spans="1:7" s="85" customFormat="1">
      <c r="A19" s="49" t="s">
        <v>431</v>
      </c>
      <c r="B19" s="52" t="s">
        <v>123</v>
      </c>
      <c r="C19" s="48" t="s">
        <v>87</v>
      </c>
      <c r="D19" s="48">
        <v>2.4</v>
      </c>
      <c r="E19" s="61">
        <v>38.39</v>
      </c>
      <c r="F19" s="62">
        <f t="shared" si="0"/>
        <v>92.135999999999996</v>
      </c>
    </row>
    <row r="20" spans="1:7" s="85" customFormat="1">
      <c r="A20" s="49" t="s">
        <v>432</v>
      </c>
      <c r="B20" s="52" t="s">
        <v>124</v>
      </c>
      <c r="C20" s="48" t="s">
        <v>87</v>
      </c>
      <c r="D20" s="48">
        <v>0.7</v>
      </c>
      <c r="E20" s="61">
        <v>22.73</v>
      </c>
      <c r="F20" s="62">
        <f t="shared" si="0"/>
        <v>15.911</v>
      </c>
    </row>
    <row r="21" spans="1:7" s="85" customFormat="1">
      <c r="A21" s="49" t="s">
        <v>433</v>
      </c>
      <c r="B21" s="52" t="s">
        <v>46</v>
      </c>
      <c r="C21" s="48" t="s">
        <v>87</v>
      </c>
      <c r="D21" s="48">
        <v>0.6</v>
      </c>
      <c r="E21" s="61">
        <v>14.77</v>
      </c>
      <c r="F21" s="62">
        <f t="shared" si="0"/>
        <v>8.8620000000000001</v>
      </c>
    </row>
    <row r="22" spans="1:7" s="85" customFormat="1">
      <c r="A22" s="49" t="s">
        <v>434</v>
      </c>
      <c r="B22" s="52" t="s">
        <v>266</v>
      </c>
      <c r="C22" s="94" t="s">
        <v>87</v>
      </c>
      <c r="D22" s="48">
        <v>4.0999999999999996</v>
      </c>
      <c r="E22" s="61">
        <v>8.77</v>
      </c>
      <c r="F22" s="62">
        <f t="shared" si="0"/>
        <v>35.956999999999994</v>
      </c>
      <c r="G22" s="273"/>
    </row>
    <row r="23" spans="1:7" s="12" customFormat="1" ht="14.25">
      <c r="A23" s="57" t="s">
        <v>435</v>
      </c>
      <c r="B23" s="58" t="s">
        <v>267</v>
      </c>
      <c r="C23" s="46" t="s">
        <v>87</v>
      </c>
      <c r="D23" s="48">
        <v>0.7</v>
      </c>
      <c r="E23" s="61">
        <v>30.05</v>
      </c>
      <c r="F23" s="62">
        <f t="shared" si="0"/>
        <v>21.035</v>
      </c>
      <c r="G23"/>
    </row>
    <row r="24" spans="1:7" s="12" customFormat="1" ht="14.25">
      <c r="A24" s="57" t="s">
        <v>436</v>
      </c>
      <c r="B24" s="58" t="s">
        <v>43</v>
      </c>
      <c r="C24" s="46" t="s">
        <v>87</v>
      </c>
      <c r="D24" s="48">
        <v>73</v>
      </c>
      <c r="E24" s="61">
        <v>5.79</v>
      </c>
      <c r="F24" s="62">
        <f t="shared" si="0"/>
        <v>422.67</v>
      </c>
      <c r="G24"/>
    </row>
    <row r="25" spans="1:7" ht="15">
      <c r="A25" s="57" t="s">
        <v>437</v>
      </c>
      <c r="B25" s="58" t="s">
        <v>44</v>
      </c>
      <c r="C25" s="59"/>
      <c r="D25" s="48"/>
      <c r="E25" s="61"/>
      <c r="F25" s="48"/>
    </row>
    <row r="26" spans="1:7" s="85" customFormat="1">
      <c r="A26" s="49" t="s">
        <v>438</v>
      </c>
      <c r="B26" s="52" t="s">
        <v>52</v>
      </c>
      <c r="C26" s="48" t="s">
        <v>87</v>
      </c>
      <c r="D26" s="48">
        <v>16.399999999999999</v>
      </c>
      <c r="E26" s="61">
        <v>8.32</v>
      </c>
      <c r="F26" s="62">
        <f t="shared" ref="F26:F32" si="1">E26*D26</f>
        <v>136.44799999999998</v>
      </c>
    </row>
    <row r="27" spans="1:7" s="85" customFormat="1">
      <c r="A27" s="49" t="s">
        <v>439</v>
      </c>
      <c r="B27" s="52" t="s">
        <v>268</v>
      </c>
      <c r="C27" s="48" t="s">
        <v>87</v>
      </c>
      <c r="D27" s="48">
        <v>16.399999999999999</v>
      </c>
      <c r="E27" s="61">
        <v>29.07</v>
      </c>
      <c r="F27" s="62">
        <f t="shared" si="1"/>
        <v>476.74799999999999</v>
      </c>
    </row>
    <row r="28" spans="1:7" s="85" customFormat="1">
      <c r="A28" s="49" t="s">
        <v>440</v>
      </c>
      <c r="B28" s="52" t="s">
        <v>270</v>
      </c>
      <c r="C28" s="48" t="s">
        <v>87</v>
      </c>
      <c r="D28" s="48">
        <v>8.1999999999999993</v>
      </c>
      <c r="E28" s="61">
        <v>13.58</v>
      </c>
      <c r="F28" s="62">
        <f t="shared" si="1"/>
        <v>111.35599999999999</v>
      </c>
    </row>
    <row r="29" spans="1:7" s="85" customFormat="1">
      <c r="A29" s="49" t="s">
        <v>441</v>
      </c>
      <c r="B29" s="52" t="s">
        <v>269</v>
      </c>
      <c r="C29" s="48" t="s">
        <v>87</v>
      </c>
      <c r="D29" s="48">
        <v>6.6</v>
      </c>
      <c r="E29" s="61">
        <v>29.07</v>
      </c>
      <c r="F29" s="62">
        <f t="shared" si="1"/>
        <v>191.86199999999999</v>
      </c>
    </row>
    <row r="30" spans="1:7" s="85" customFormat="1">
      <c r="A30" s="49" t="s">
        <v>442</v>
      </c>
      <c r="B30" s="52" t="s">
        <v>411</v>
      </c>
      <c r="C30" s="48" t="s">
        <v>87</v>
      </c>
      <c r="D30" s="48">
        <v>6.6</v>
      </c>
      <c r="E30" s="61">
        <v>10.57</v>
      </c>
      <c r="F30" s="62">
        <f t="shared" si="1"/>
        <v>69.762</v>
      </c>
    </row>
    <row r="31" spans="1:7" s="85" customFormat="1">
      <c r="A31" s="49" t="s">
        <v>443</v>
      </c>
      <c r="B31" s="52" t="s">
        <v>271</v>
      </c>
      <c r="C31" s="48" t="s">
        <v>87</v>
      </c>
      <c r="D31" s="48">
        <v>6.6</v>
      </c>
      <c r="E31" s="61">
        <v>8.6</v>
      </c>
      <c r="F31" s="62">
        <f t="shared" si="1"/>
        <v>56.76</v>
      </c>
    </row>
    <row r="32" spans="1:7" s="85" customFormat="1">
      <c r="A32" s="49" t="s">
        <v>444</v>
      </c>
      <c r="B32" s="52" t="s">
        <v>272</v>
      </c>
      <c r="C32" s="94" t="s">
        <v>87</v>
      </c>
      <c r="D32" s="48">
        <v>21.3</v>
      </c>
      <c r="E32" s="305">
        <f>E26*0.157+E27*0.28+(E28+E30)/2*0.133+E29*0.197+E31*0.18+11.48*0.053</f>
        <v>18.935045000000002</v>
      </c>
      <c r="F32" s="62">
        <f t="shared" si="1"/>
        <v>403.31645850000007</v>
      </c>
    </row>
    <row r="33" spans="1:6" ht="15">
      <c r="A33" s="57" t="s">
        <v>445</v>
      </c>
      <c r="B33" s="58" t="s">
        <v>538</v>
      </c>
      <c r="C33" s="59"/>
      <c r="D33" s="48"/>
      <c r="E33" s="305"/>
      <c r="F33" s="62"/>
    </row>
    <row r="34" spans="1:6" s="85" customFormat="1">
      <c r="A34" s="63" t="s">
        <v>446</v>
      </c>
      <c r="B34" s="64" t="s">
        <v>273</v>
      </c>
      <c r="C34" s="48" t="s">
        <v>87</v>
      </c>
      <c r="D34" s="48">
        <v>27.4</v>
      </c>
      <c r="E34" s="305">
        <v>12.91</v>
      </c>
      <c r="F34" s="62">
        <f t="shared" ref="F34:F47" si="2">E34*D34</f>
        <v>353.73399999999998</v>
      </c>
    </row>
    <row r="35" spans="1:6" s="85" customFormat="1">
      <c r="A35" s="299" t="s">
        <v>447</v>
      </c>
      <c r="B35" s="64" t="s">
        <v>274</v>
      </c>
      <c r="C35" s="94" t="s">
        <v>87</v>
      </c>
      <c r="D35" s="48">
        <v>8.1999999999999993</v>
      </c>
      <c r="E35" s="324">
        <v>12.91</v>
      </c>
      <c r="F35" s="62">
        <f t="shared" si="2"/>
        <v>105.86199999999999</v>
      </c>
    </row>
    <row r="36" spans="1:6" s="85" customFormat="1">
      <c r="A36" s="63" t="s">
        <v>448</v>
      </c>
      <c r="B36" s="52" t="s">
        <v>412</v>
      </c>
      <c r="C36" s="48" t="s">
        <v>87</v>
      </c>
      <c r="D36" s="48">
        <v>5.5</v>
      </c>
      <c r="E36" s="61">
        <v>42.86</v>
      </c>
      <c r="F36" s="62">
        <f t="shared" si="2"/>
        <v>235.73</v>
      </c>
    </row>
    <row r="37" spans="1:6" s="85" customFormat="1">
      <c r="A37" s="63" t="s">
        <v>449</v>
      </c>
      <c r="B37" s="52" t="s">
        <v>275</v>
      </c>
      <c r="C37" s="48" t="s">
        <v>87</v>
      </c>
      <c r="D37" s="48">
        <v>5.5</v>
      </c>
      <c r="E37" s="61">
        <v>12.91</v>
      </c>
      <c r="F37" s="62">
        <f t="shared" si="2"/>
        <v>71.004999999999995</v>
      </c>
    </row>
    <row r="38" spans="1:6" s="85" customFormat="1">
      <c r="A38" s="63" t="s">
        <v>450</v>
      </c>
      <c r="B38" s="52" t="s">
        <v>276</v>
      </c>
      <c r="C38" s="48" t="s">
        <v>87</v>
      </c>
      <c r="D38" s="48">
        <v>2.7</v>
      </c>
      <c r="E38" s="61">
        <v>12.91</v>
      </c>
      <c r="F38" s="62">
        <f t="shared" si="2"/>
        <v>34.856999999999999</v>
      </c>
    </row>
    <row r="39" spans="1:6" s="85" customFormat="1">
      <c r="A39" s="299" t="s">
        <v>451</v>
      </c>
      <c r="B39" s="295" t="s">
        <v>277</v>
      </c>
      <c r="C39" s="94" t="s">
        <v>87</v>
      </c>
      <c r="D39" s="48">
        <v>5.5</v>
      </c>
      <c r="E39" s="61">
        <v>12.91</v>
      </c>
      <c r="F39" s="62">
        <f t="shared" si="2"/>
        <v>71.004999999999995</v>
      </c>
    </row>
    <row r="40" spans="1:6" ht="14.25">
      <c r="A40" s="57" t="s">
        <v>452</v>
      </c>
      <c r="B40" s="58" t="s">
        <v>325</v>
      </c>
      <c r="C40" s="46" t="s">
        <v>278</v>
      </c>
      <c r="D40" s="48">
        <v>45.6</v>
      </c>
      <c r="E40" s="61">
        <v>17.920000000000002</v>
      </c>
      <c r="F40" s="62">
        <f t="shared" si="2"/>
        <v>817.15200000000016</v>
      </c>
    </row>
    <row r="41" spans="1:6" ht="14.25">
      <c r="A41" s="65" t="s">
        <v>453</v>
      </c>
      <c r="B41" s="58" t="s">
        <v>54</v>
      </c>
      <c r="C41" s="46" t="s">
        <v>87</v>
      </c>
      <c r="D41" s="48">
        <v>3.65</v>
      </c>
      <c r="E41" s="61">
        <v>111.71</v>
      </c>
      <c r="F41" s="62">
        <f t="shared" si="2"/>
        <v>407.74149999999997</v>
      </c>
    </row>
    <row r="42" spans="1:6" ht="14.25">
      <c r="A42" s="57" t="s">
        <v>458</v>
      </c>
      <c r="B42" s="58" t="s">
        <v>286</v>
      </c>
      <c r="C42" s="46" t="s">
        <v>87</v>
      </c>
      <c r="D42" s="48">
        <v>18.25</v>
      </c>
      <c r="E42" s="61">
        <v>17.59</v>
      </c>
      <c r="F42" s="62">
        <f t="shared" si="2"/>
        <v>321.01749999999998</v>
      </c>
    </row>
    <row r="43" spans="1:6" ht="14.25">
      <c r="A43" s="57" t="s">
        <v>465</v>
      </c>
      <c r="B43" s="58" t="s">
        <v>288</v>
      </c>
      <c r="C43" s="46" t="s">
        <v>87</v>
      </c>
      <c r="D43" s="48">
        <v>1.1000000000000001</v>
      </c>
      <c r="E43" s="61">
        <v>92.66</v>
      </c>
      <c r="F43" s="62">
        <f t="shared" si="2"/>
        <v>101.926</v>
      </c>
    </row>
    <row r="44" spans="1:6" ht="14.25">
      <c r="A44" s="57" t="s">
        <v>466</v>
      </c>
      <c r="B44" s="58" t="s">
        <v>287</v>
      </c>
      <c r="C44" s="212" t="s">
        <v>87</v>
      </c>
      <c r="D44" s="48">
        <v>5.5</v>
      </c>
      <c r="E44" s="61">
        <f>40.88*0.793+50.56*0.207</f>
        <v>42.883760000000009</v>
      </c>
      <c r="F44" s="62">
        <f t="shared" si="2"/>
        <v>235.86068000000006</v>
      </c>
    </row>
    <row r="45" spans="1:6" ht="14.25">
      <c r="A45" s="57" t="s">
        <v>469</v>
      </c>
      <c r="B45" s="58" t="s">
        <v>60</v>
      </c>
      <c r="C45" s="46" t="s">
        <v>87</v>
      </c>
      <c r="D45" s="48">
        <v>7.7</v>
      </c>
      <c r="E45" s="61">
        <v>117.69999999999999</v>
      </c>
      <c r="F45" s="62">
        <f t="shared" si="2"/>
        <v>906.29</v>
      </c>
    </row>
    <row r="46" spans="1:6" ht="14.25">
      <c r="A46" s="57" t="s">
        <v>470</v>
      </c>
      <c r="B46" s="58" t="s">
        <v>68</v>
      </c>
      <c r="C46" s="46" t="s">
        <v>87</v>
      </c>
      <c r="D46" s="66">
        <v>3</v>
      </c>
      <c r="E46" s="61">
        <v>31.89</v>
      </c>
      <c r="F46" s="62">
        <f t="shared" si="2"/>
        <v>95.67</v>
      </c>
    </row>
    <row r="47" spans="1:6" ht="14.25">
      <c r="A47" s="57" t="s">
        <v>471</v>
      </c>
      <c r="B47" s="58" t="s">
        <v>352</v>
      </c>
      <c r="C47" s="46" t="s">
        <v>88</v>
      </c>
      <c r="D47" s="48">
        <v>182.5</v>
      </c>
      <c r="E47" s="67">
        <v>1.343</v>
      </c>
      <c r="F47" s="62">
        <f t="shared" si="2"/>
        <v>245.0975</v>
      </c>
    </row>
    <row r="48" spans="1:6" ht="17.25" customHeight="1">
      <c r="A48" s="57" t="s">
        <v>472</v>
      </c>
      <c r="B48" s="58" t="s">
        <v>539</v>
      </c>
      <c r="C48" s="59"/>
      <c r="D48" s="48"/>
      <c r="E48" s="61"/>
      <c r="F48" s="62"/>
    </row>
    <row r="49" spans="1:6" s="85" customFormat="1">
      <c r="A49" s="49" t="s">
        <v>542</v>
      </c>
      <c r="B49" s="52" t="s">
        <v>59</v>
      </c>
      <c r="C49" s="48" t="s">
        <v>87</v>
      </c>
      <c r="D49" s="48">
        <v>91.3</v>
      </c>
      <c r="E49" s="61">
        <v>13.48</v>
      </c>
      <c r="F49" s="62">
        <f>E49*D49</f>
        <v>1230.7239999999999</v>
      </c>
    </row>
    <row r="50" spans="1:6" s="85" customFormat="1">
      <c r="A50" s="49" t="s">
        <v>543</v>
      </c>
      <c r="B50" s="52" t="s">
        <v>284</v>
      </c>
      <c r="C50" s="48" t="s">
        <v>87</v>
      </c>
      <c r="D50" s="48">
        <v>91.3</v>
      </c>
      <c r="E50" s="61">
        <v>16.899999999999999</v>
      </c>
      <c r="F50" s="62">
        <f>E50*D50</f>
        <v>1542.9699999999998</v>
      </c>
    </row>
    <row r="51" spans="1:6" s="85" customFormat="1">
      <c r="A51" s="49" t="s">
        <v>544</v>
      </c>
      <c r="B51" s="52" t="s">
        <v>61</v>
      </c>
      <c r="C51" s="48" t="s">
        <v>87</v>
      </c>
      <c r="D51" s="48">
        <v>18.25</v>
      </c>
      <c r="E51" s="61">
        <v>65.78</v>
      </c>
      <c r="F51" s="62">
        <f>E51*D51</f>
        <v>1200.4850000000001</v>
      </c>
    </row>
    <row r="52" spans="1:6" s="85" customFormat="1">
      <c r="A52" s="49" t="s">
        <v>545</v>
      </c>
      <c r="B52" s="52" t="s">
        <v>62</v>
      </c>
      <c r="C52" s="48" t="s">
        <v>87</v>
      </c>
      <c r="D52" s="48">
        <v>2.7</v>
      </c>
      <c r="E52" s="61">
        <v>38.340000000000003</v>
      </c>
      <c r="F52" s="62">
        <f>E52*D52</f>
        <v>103.51800000000001</v>
      </c>
    </row>
    <row r="53" spans="1:6" s="85" customFormat="1">
      <c r="A53" s="49" t="s">
        <v>546</v>
      </c>
      <c r="B53" s="52" t="s">
        <v>63</v>
      </c>
      <c r="C53" s="48" t="s">
        <v>87</v>
      </c>
      <c r="D53" s="48">
        <v>1.8</v>
      </c>
      <c r="E53" s="61">
        <v>120.63</v>
      </c>
      <c r="F53" s="62">
        <f>E53*D53</f>
        <v>217.13399999999999</v>
      </c>
    </row>
    <row r="54" spans="1:6" ht="15">
      <c r="A54" s="57" t="s">
        <v>473</v>
      </c>
      <c r="B54" s="58" t="s">
        <v>540</v>
      </c>
      <c r="C54" s="59"/>
      <c r="D54" s="48"/>
      <c r="E54" s="61"/>
      <c r="F54" s="62"/>
    </row>
    <row r="55" spans="1:6" s="85" customFormat="1">
      <c r="A55" s="49" t="s">
        <v>547</v>
      </c>
      <c r="B55" s="52" t="s">
        <v>279</v>
      </c>
      <c r="C55" s="94" t="s">
        <v>87</v>
      </c>
      <c r="D55" s="48">
        <v>11.7</v>
      </c>
      <c r="E55" s="61">
        <f>82.87*0.983+75.38*0.017</f>
        <v>82.742670000000004</v>
      </c>
      <c r="F55" s="62">
        <f t="shared" ref="F55:F62" si="3">E55*D55</f>
        <v>968.08923900000002</v>
      </c>
    </row>
    <row r="56" spans="1:6" s="85" customFormat="1">
      <c r="A56" s="49" t="s">
        <v>548</v>
      </c>
      <c r="B56" s="52" t="s">
        <v>280</v>
      </c>
      <c r="C56" s="48" t="s">
        <v>87</v>
      </c>
      <c r="D56" s="48">
        <v>5.8</v>
      </c>
      <c r="E56" s="61">
        <v>73.83</v>
      </c>
      <c r="F56" s="62">
        <f t="shared" si="3"/>
        <v>428.214</v>
      </c>
    </row>
    <row r="57" spans="1:6" s="85" customFormat="1">
      <c r="A57" s="49" t="s">
        <v>549</v>
      </c>
      <c r="B57" s="52" t="s">
        <v>541</v>
      </c>
      <c r="C57" s="94" t="s">
        <v>87</v>
      </c>
      <c r="D57" s="48">
        <v>5.8</v>
      </c>
      <c r="E57" s="61">
        <f>39.79*0.912+93.52*0.088</f>
        <v>44.518239999999999</v>
      </c>
      <c r="F57" s="62">
        <f t="shared" si="3"/>
        <v>258.20579199999997</v>
      </c>
    </row>
    <row r="58" spans="1:6" s="85" customFormat="1">
      <c r="A58" s="49" t="s">
        <v>550</v>
      </c>
      <c r="B58" s="52" t="s">
        <v>283</v>
      </c>
      <c r="C58" s="48" t="s">
        <v>87</v>
      </c>
      <c r="D58" s="48">
        <v>5.9</v>
      </c>
      <c r="E58" s="61">
        <f>77.69*0.204+42.6*0.326+45.52*0.47</f>
        <v>51.130759999999995</v>
      </c>
      <c r="F58" s="62">
        <f t="shared" si="3"/>
        <v>301.67148399999996</v>
      </c>
    </row>
    <row r="59" spans="1:6" s="85" customFormat="1">
      <c r="A59" s="49" t="s">
        <v>551</v>
      </c>
      <c r="B59" s="52" t="s">
        <v>281</v>
      </c>
      <c r="C59" s="94" t="s">
        <v>87</v>
      </c>
      <c r="D59" s="48">
        <v>4</v>
      </c>
      <c r="E59" s="61">
        <f>77.8*0.486+73.76*0.514</f>
        <v>75.723440000000011</v>
      </c>
      <c r="F59" s="62">
        <f t="shared" si="3"/>
        <v>302.89376000000004</v>
      </c>
    </row>
    <row r="60" spans="1:6" s="85" customFormat="1">
      <c r="A60" s="49" t="s">
        <v>552</v>
      </c>
      <c r="B60" s="52" t="s">
        <v>413</v>
      </c>
      <c r="C60" s="48" t="s">
        <v>87</v>
      </c>
      <c r="D60" s="48">
        <v>1.3</v>
      </c>
      <c r="E60" s="61">
        <v>108.71</v>
      </c>
      <c r="F60" s="62">
        <f t="shared" si="3"/>
        <v>141.32300000000001</v>
      </c>
    </row>
    <row r="61" spans="1:6" s="85" customFormat="1" ht="12.75" customHeight="1">
      <c r="A61" s="49" t="s">
        <v>553</v>
      </c>
      <c r="B61" s="52" t="s">
        <v>282</v>
      </c>
      <c r="C61" s="48" t="s">
        <v>87</v>
      </c>
      <c r="D61" s="66">
        <v>1</v>
      </c>
      <c r="E61" s="61">
        <v>115.82</v>
      </c>
      <c r="F61" s="62">
        <f t="shared" si="3"/>
        <v>115.82</v>
      </c>
    </row>
    <row r="62" spans="1:6" s="85" customFormat="1">
      <c r="A62" s="49" t="s">
        <v>554</v>
      </c>
      <c r="B62" s="52" t="s">
        <v>58</v>
      </c>
      <c r="C62" s="48" t="s">
        <v>87</v>
      </c>
      <c r="D62" s="66">
        <v>1</v>
      </c>
      <c r="E62" s="61">
        <v>41.93</v>
      </c>
      <c r="F62" s="62">
        <f t="shared" si="3"/>
        <v>41.93</v>
      </c>
    </row>
    <row r="63" spans="1:6" ht="15">
      <c r="A63" s="57" t="s">
        <v>474</v>
      </c>
      <c r="B63" s="58" t="s">
        <v>560</v>
      </c>
      <c r="C63" s="59"/>
      <c r="D63" s="48"/>
      <c r="E63" s="61"/>
      <c r="F63" s="62"/>
    </row>
    <row r="64" spans="1:6" s="85" customFormat="1">
      <c r="A64" s="49" t="s">
        <v>555</v>
      </c>
      <c r="B64" s="52" t="s">
        <v>285</v>
      </c>
      <c r="C64" s="94" t="s">
        <v>87</v>
      </c>
      <c r="D64" s="48">
        <v>8.6</v>
      </c>
      <c r="E64" s="61">
        <f>43.51*0.307+66.04*0.693</f>
        <v>59.123289999999997</v>
      </c>
      <c r="F64" s="62">
        <f t="shared" ref="F64:F70" si="4">E64*D64</f>
        <v>508.46029399999998</v>
      </c>
    </row>
    <row r="65" spans="1:6" s="85" customFormat="1">
      <c r="A65" s="49" t="s">
        <v>556</v>
      </c>
      <c r="B65" s="32" t="s">
        <v>223</v>
      </c>
      <c r="C65" s="94" t="s">
        <v>87</v>
      </c>
      <c r="D65" s="48">
        <v>4.2</v>
      </c>
      <c r="E65" s="61">
        <f>43.51*0.249+66.04*0.563+59.18*0.188</f>
        <v>59.140349999999998</v>
      </c>
      <c r="F65" s="62">
        <f t="shared" si="4"/>
        <v>248.38946999999999</v>
      </c>
    </row>
    <row r="66" spans="1:6" ht="14.25">
      <c r="A66" s="57" t="s">
        <v>475</v>
      </c>
      <c r="B66" s="110" t="s">
        <v>70</v>
      </c>
      <c r="C66" s="46" t="s">
        <v>87</v>
      </c>
      <c r="D66" s="48">
        <v>7.2999999999999995E-2</v>
      </c>
      <c r="E66" s="61">
        <v>341.1</v>
      </c>
      <c r="F66" s="62">
        <f t="shared" si="4"/>
        <v>24.900300000000001</v>
      </c>
    </row>
    <row r="67" spans="1:6" ht="14.25">
      <c r="A67" s="57" t="s">
        <v>476</v>
      </c>
      <c r="B67" s="58" t="s">
        <v>289</v>
      </c>
      <c r="C67" s="46" t="s">
        <v>87</v>
      </c>
      <c r="D67" s="48">
        <v>0.36499999999999999</v>
      </c>
      <c r="E67" s="61">
        <v>202.8</v>
      </c>
      <c r="F67" s="62">
        <f t="shared" si="4"/>
        <v>74.022000000000006</v>
      </c>
    </row>
    <row r="68" spans="1:6" ht="14.25">
      <c r="A68" s="57" t="s">
        <v>477</v>
      </c>
      <c r="B68" s="58" t="s">
        <v>290</v>
      </c>
      <c r="C68" s="46" t="s">
        <v>87</v>
      </c>
      <c r="D68" s="48">
        <v>0.36499999999999999</v>
      </c>
      <c r="E68" s="61">
        <v>24.08</v>
      </c>
      <c r="F68" s="62">
        <f t="shared" si="4"/>
        <v>8.7891999999999992</v>
      </c>
    </row>
    <row r="69" spans="1:6" ht="14.25">
      <c r="A69" s="57" t="s">
        <v>557</v>
      </c>
      <c r="B69" s="58" t="s">
        <v>69</v>
      </c>
      <c r="C69" s="46" t="s">
        <v>87</v>
      </c>
      <c r="D69" s="48">
        <v>1.8</v>
      </c>
      <c r="E69" s="61">
        <v>4.53</v>
      </c>
      <c r="F69" s="62">
        <f t="shared" si="4"/>
        <v>8.1539999999999999</v>
      </c>
    </row>
    <row r="70" spans="1:6" ht="14.25">
      <c r="A70" s="57" t="s">
        <v>558</v>
      </c>
      <c r="B70" s="58" t="s">
        <v>291</v>
      </c>
      <c r="C70" s="46" t="s">
        <v>87</v>
      </c>
      <c r="D70" s="48">
        <v>7.2999999999999995E-2</v>
      </c>
      <c r="E70" s="61">
        <v>363</v>
      </c>
      <c r="F70" s="62">
        <f t="shared" si="4"/>
        <v>26.498999999999999</v>
      </c>
    </row>
    <row r="71" spans="1:6" ht="15.75">
      <c r="A71" s="69" t="s">
        <v>374</v>
      </c>
      <c r="B71" s="70"/>
      <c r="C71" s="40"/>
      <c r="D71" s="40"/>
      <c r="E71" s="289"/>
      <c r="F71" s="71">
        <f>SUM(F12:F70)</f>
        <v>14477.099177500004</v>
      </c>
    </row>
    <row r="72" spans="1:6" ht="15.75">
      <c r="A72" s="72" t="s">
        <v>375</v>
      </c>
      <c r="B72" s="73"/>
      <c r="C72" s="74"/>
      <c r="D72" s="74"/>
      <c r="E72" s="74"/>
      <c r="F72" s="75">
        <f>F71/12</f>
        <v>1206.4249314583337</v>
      </c>
    </row>
    <row r="74" spans="1:6">
      <c r="A74"/>
    </row>
    <row r="75" spans="1:6">
      <c r="A75"/>
    </row>
  </sheetData>
  <mergeCells count="2">
    <mergeCell ref="A1:F1"/>
    <mergeCell ref="A2:F2"/>
  </mergeCells>
  <phoneticPr fontId="29" type="noConversion"/>
  <printOptions horizontalCentered="1"/>
  <pageMargins left="0.47244094488188981" right="0.19685039370078741" top="0.11811023622047245" bottom="0.23622047244094491" header="0.86614173228346458" footer="0.82677165354330717"/>
  <pageSetup paperSize="9" scale="88" orientation="portrait" horizontalDpi="4294967293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topLeftCell="A25" zoomScale="75" workbookViewId="0">
      <selection activeCell="O82" sqref="O82"/>
    </sheetView>
  </sheetViews>
  <sheetFormatPr defaultRowHeight="12.75"/>
  <cols>
    <col min="1" max="1" width="5.28515625" customWidth="1"/>
    <col min="2" max="2" width="28.42578125" customWidth="1"/>
    <col min="3" max="3" width="8.85546875" customWidth="1"/>
    <col min="4" max="4" width="16.85546875" customWidth="1"/>
    <col min="5" max="5" width="12.42578125" customWidth="1"/>
    <col min="6" max="6" width="13.28515625" bestFit="1" customWidth="1"/>
    <col min="7" max="7" width="3.42578125" customWidth="1"/>
    <col min="8" max="33" width="3.7109375" customWidth="1"/>
  </cols>
  <sheetData>
    <row r="1" spans="1:7" ht="15.75">
      <c r="A1" s="342" t="s">
        <v>414</v>
      </c>
      <c r="B1" s="342"/>
      <c r="C1" s="342"/>
      <c r="D1" s="342"/>
      <c r="E1" s="342"/>
      <c r="F1" s="342"/>
    </row>
    <row r="2" spans="1:7" ht="15.75">
      <c r="A2" s="342" t="s">
        <v>323</v>
      </c>
      <c r="B2" s="342"/>
      <c r="C2" s="342"/>
      <c r="D2" s="342"/>
      <c r="E2" s="342"/>
      <c r="F2" s="342"/>
    </row>
    <row r="3" spans="1:7" ht="15.75">
      <c r="A3" s="87"/>
      <c r="B3" s="88"/>
      <c r="C3" s="89"/>
      <c r="D3" s="90"/>
      <c r="E3" s="89"/>
      <c r="F3" s="31"/>
    </row>
    <row r="4" spans="1:7">
      <c r="A4" s="81" t="s">
        <v>42</v>
      </c>
      <c r="B4" s="224"/>
      <c r="C4" s="81" t="s">
        <v>92</v>
      </c>
      <c r="D4" s="82" t="s">
        <v>238</v>
      </c>
      <c r="E4" s="81" t="s">
        <v>184</v>
      </c>
      <c r="F4" s="81" t="s">
        <v>107</v>
      </c>
    </row>
    <row r="5" spans="1:7">
      <c r="A5" s="79" t="s">
        <v>373</v>
      </c>
      <c r="B5" s="83" t="s">
        <v>99</v>
      </c>
      <c r="C5" s="79" t="s">
        <v>81</v>
      </c>
      <c r="D5" s="243" t="s">
        <v>240</v>
      </c>
      <c r="E5" s="79" t="s">
        <v>239</v>
      </c>
      <c r="F5" s="79" t="s">
        <v>105</v>
      </c>
    </row>
    <row r="6" spans="1:7">
      <c r="A6" s="275"/>
      <c r="B6" s="224" t="s">
        <v>304</v>
      </c>
      <c r="C6" s="79"/>
      <c r="D6" s="243" t="s">
        <v>627</v>
      </c>
      <c r="E6" s="79" t="s">
        <v>95</v>
      </c>
      <c r="F6" s="79"/>
    </row>
    <row r="7" spans="1:7">
      <c r="A7" s="275"/>
      <c r="B7" s="226"/>
      <c r="C7" s="79"/>
      <c r="D7" s="243" t="s">
        <v>178</v>
      </c>
      <c r="E7" s="79" t="s">
        <v>632</v>
      </c>
      <c r="F7" s="79"/>
    </row>
    <row r="8" spans="1:7" ht="14.25" customHeight="1">
      <c r="A8" s="275"/>
      <c r="B8" s="227"/>
      <c r="C8" s="79"/>
      <c r="D8" s="243"/>
      <c r="E8" s="79" t="s">
        <v>669</v>
      </c>
      <c r="F8" s="79"/>
    </row>
    <row r="9" spans="1:7">
      <c r="A9" s="275"/>
      <c r="B9" s="227"/>
      <c r="C9" s="79"/>
      <c r="D9" s="243"/>
      <c r="E9" s="276" t="s">
        <v>657</v>
      </c>
      <c r="F9" s="123" t="s">
        <v>657</v>
      </c>
    </row>
    <row r="10" spans="1:7">
      <c r="A10" s="43"/>
      <c r="B10" s="42"/>
      <c r="C10" s="55"/>
      <c r="D10" s="56"/>
      <c r="E10" s="43"/>
      <c r="F10" s="43"/>
    </row>
    <row r="11" spans="1:7" ht="14.25">
      <c r="A11" s="57">
        <v>1</v>
      </c>
      <c r="B11" s="93" t="s">
        <v>324</v>
      </c>
      <c r="C11" s="53" t="s">
        <v>87</v>
      </c>
      <c r="D11" s="48"/>
      <c r="E11" s="53"/>
      <c r="F11" s="48"/>
    </row>
    <row r="12" spans="1:7">
      <c r="A12" s="49" t="s">
        <v>424</v>
      </c>
      <c r="B12" s="54" t="s">
        <v>48</v>
      </c>
      <c r="C12" s="53" t="s">
        <v>87</v>
      </c>
      <c r="D12" s="48">
        <v>51.1</v>
      </c>
      <c r="E12" s="61">
        <v>12.48</v>
      </c>
      <c r="F12" s="62">
        <f t="shared" ref="F12:F24" si="0">E12*D12</f>
        <v>637.72800000000007</v>
      </c>
      <c r="G12" s="28">
        <f>F12+F13</f>
        <v>964.48800000000006</v>
      </c>
    </row>
    <row r="13" spans="1:7">
      <c r="A13" s="49" t="s">
        <v>425</v>
      </c>
      <c r="B13" s="54" t="s">
        <v>49</v>
      </c>
      <c r="C13" s="53" t="s">
        <v>87</v>
      </c>
      <c r="D13" s="48">
        <v>28</v>
      </c>
      <c r="E13" s="61">
        <v>11.67</v>
      </c>
      <c r="F13" s="62">
        <f t="shared" si="0"/>
        <v>326.76</v>
      </c>
      <c r="G13" s="28"/>
    </row>
    <row r="14" spans="1:7">
      <c r="A14" s="49" t="s">
        <v>426</v>
      </c>
      <c r="B14" s="54" t="s">
        <v>120</v>
      </c>
      <c r="C14" s="53" t="s">
        <v>87</v>
      </c>
      <c r="D14" s="48">
        <v>7.9</v>
      </c>
      <c r="E14" s="61">
        <v>9.1300000000000008</v>
      </c>
      <c r="F14" s="62">
        <f t="shared" si="0"/>
        <v>72.12700000000001</v>
      </c>
      <c r="G14" s="28"/>
    </row>
    <row r="15" spans="1:7">
      <c r="A15" s="49" t="s">
        <v>427</v>
      </c>
      <c r="B15" s="54" t="s">
        <v>50</v>
      </c>
      <c r="C15" s="53" t="s">
        <v>87</v>
      </c>
      <c r="D15" s="48">
        <v>4</v>
      </c>
      <c r="E15" s="61">
        <v>15.57</v>
      </c>
      <c r="F15" s="62">
        <f t="shared" si="0"/>
        <v>62.28</v>
      </c>
      <c r="G15" s="28"/>
    </row>
    <row r="16" spans="1:7">
      <c r="A16" s="49" t="s">
        <v>428</v>
      </c>
      <c r="B16" s="54" t="s">
        <v>47</v>
      </c>
      <c r="C16" s="53" t="s">
        <v>87</v>
      </c>
      <c r="D16" s="48">
        <v>1.8</v>
      </c>
      <c r="E16" s="61">
        <v>21.99</v>
      </c>
      <c r="F16" s="62">
        <f t="shared" si="0"/>
        <v>39.582000000000001</v>
      </c>
      <c r="G16" s="28"/>
    </row>
    <row r="17" spans="1:7">
      <c r="A17" s="49" t="s">
        <v>429</v>
      </c>
      <c r="B17" s="54" t="s">
        <v>121</v>
      </c>
      <c r="C17" s="53" t="s">
        <v>87</v>
      </c>
      <c r="D17" s="48">
        <v>1.2</v>
      </c>
      <c r="E17" s="61">
        <v>10.64</v>
      </c>
      <c r="F17" s="62">
        <f t="shared" si="0"/>
        <v>12.768000000000001</v>
      </c>
      <c r="G17" s="28"/>
    </row>
    <row r="18" spans="1:7">
      <c r="A18" s="49" t="s">
        <v>430</v>
      </c>
      <c r="B18" s="54" t="s">
        <v>122</v>
      </c>
      <c r="C18" s="53" t="s">
        <v>87</v>
      </c>
      <c r="D18" s="48">
        <v>2.2999999999999998</v>
      </c>
      <c r="E18" s="61">
        <v>11.19</v>
      </c>
      <c r="F18" s="62">
        <f t="shared" si="0"/>
        <v>25.736999999999998</v>
      </c>
      <c r="G18" s="28"/>
    </row>
    <row r="19" spans="1:7">
      <c r="A19" s="49" t="s">
        <v>431</v>
      </c>
      <c r="B19" s="54" t="s">
        <v>123</v>
      </c>
      <c r="C19" s="53" t="s">
        <v>87</v>
      </c>
      <c r="D19" s="48">
        <v>3.4</v>
      </c>
      <c r="E19" s="61">
        <v>38.39</v>
      </c>
      <c r="F19" s="62">
        <f t="shared" si="0"/>
        <v>130.52600000000001</v>
      </c>
      <c r="G19" s="28"/>
    </row>
    <row r="20" spans="1:7">
      <c r="A20" s="49" t="s">
        <v>432</v>
      </c>
      <c r="B20" s="54" t="s">
        <v>124</v>
      </c>
      <c r="C20" s="53" t="s">
        <v>87</v>
      </c>
      <c r="D20" s="48">
        <v>0.9</v>
      </c>
      <c r="E20" s="61">
        <v>22.73</v>
      </c>
      <c r="F20" s="62">
        <f t="shared" si="0"/>
        <v>20.457000000000001</v>
      </c>
      <c r="G20" s="28"/>
    </row>
    <row r="21" spans="1:7">
      <c r="A21" s="49" t="s">
        <v>433</v>
      </c>
      <c r="B21" s="54" t="s">
        <v>46</v>
      </c>
      <c r="C21" s="53" t="s">
        <v>87</v>
      </c>
      <c r="D21" s="48">
        <v>0.8</v>
      </c>
      <c r="E21" s="61">
        <v>14.77</v>
      </c>
      <c r="F21" s="62">
        <f t="shared" si="0"/>
        <v>11.816000000000001</v>
      </c>
      <c r="G21" s="28"/>
    </row>
    <row r="22" spans="1:7">
      <c r="A22" s="49" t="s">
        <v>434</v>
      </c>
      <c r="B22" s="54" t="s">
        <v>266</v>
      </c>
      <c r="C22" s="297" t="s">
        <v>87</v>
      </c>
      <c r="D22" s="48">
        <v>5.7</v>
      </c>
      <c r="E22" s="61">
        <v>8.77</v>
      </c>
      <c r="F22" s="136">
        <f t="shared" si="0"/>
        <v>49.988999999999997</v>
      </c>
      <c r="G22" s="298"/>
    </row>
    <row r="23" spans="1:7" ht="14.25">
      <c r="A23" s="57" t="s">
        <v>435</v>
      </c>
      <c r="B23" s="93" t="s">
        <v>267</v>
      </c>
      <c r="C23" s="53" t="s">
        <v>87</v>
      </c>
      <c r="D23" s="48">
        <v>1.1000000000000001</v>
      </c>
      <c r="E23" s="61">
        <v>30.05</v>
      </c>
      <c r="F23" s="62">
        <f t="shared" si="0"/>
        <v>33.055000000000007</v>
      </c>
      <c r="G23" s="28"/>
    </row>
    <row r="24" spans="1:7" ht="14.25">
      <c r="A24" s="57" t="s">
        <v>436</v>
      </c>
      <c r="B24" s="93" t="s">
        <v>43</v>
      </c>
      <c r="C24" s="53" t="s">
        <v>87</v>
      </c>
      <c r="D24" s="48">
        <v>93.7</v>
      </c>
      <c r="E24" s="61">
        <v>5.79</v>
      </c>
      <c r="F24" s="62">
        <f t="shared" si="0"/>
        <v>542.52300000000002</v>
      </c>
      <c r="G24" s="28"/>
    </row>
    <row r="25" spans="1:7" ht="14.25">
      <c r="A25" s="57" t="s">
        <v>437</v>
      </c>
      <c r="B25" s="93" t="s">
        <v>44</v>
      </c>
      <c r="C25" s="53"/>
      <c r="D25" s="48"/>
      <c r="E25" s="61"/>
      <c r="F25" s="62"/>
      <c r="G25" s="28"/>
    </row>
    <row r="26" spans="1:7">
      <c r="A26" s="49" t="s">
        <v>438</v>
      </c>
      <c r="B26" s="54" t="s">
        <v>52</v>
      </c>
      <c r="C26" s="53" t="s">
        <v>87</v>
      </c>
      <c r="D26" s="48">
        <v>21.9</v>
      </c>
      <c r="E26" s="61">
        <v>8.32</v>
      </c>
      <c r="F26" s="62">
        <f t="shared" ref="F26:F32" si="1">E26*D26</f>
        <v>182.208</v>
      </c>
      <c r="G26" s="28"/>
    </row>
    <row r="27" spans="1:7">
      <c r="A27" s="49" t="s">
        <v>439</v>
      </c>
      <c r="B27" s="54" t="s">
        <v>268</v>
      </c>
      <c r="C27" s="53" t="s">
        <v>87</v>
      </c>
      <c r="D27" s="48">
        <v>21.9</v>
      </c>
      <c r="E27" s="61">
        <v>29.07</v>
      </c>
      <c r="F27" s="62">
        <f t="shared" si="1"/>
        <v>636.63299999999992</v>
      </c>
      <c r="G27" s="28"/>
    </row>
    <row r="28" spans="1:7">
      <c r="A28" s="49" t="s">
        <v>440</v>
      </c>
      <c r="B28" s="54" t="s">
        <v>292</v>
      </c>
      <c r="C28" s="53" t="s">
        <v>87</v>
      </c>
      <c r="D28" s="48">
        <v>10.9</v>
      </c>
      <c r="E28" s="61">
        <v>13.58</v>
      </c>
      <c r="F28" s="62">
        <f t="shared" si="1"/>
        <v>148.02200000000002</v>
      </c>
      <c r="G28" s="28"/>
    </row>
    <row r="29" spans="1:7">
      <c r="A29" s="49" t="s">
        <v>441</v>
      </c>
      <c r="B29" s="54" t="s">
        <v>269</v>
      </c>
      <c r="C29" s="53" t="s">
        <v>87</v>
      </c>
      <c r="D29" s="48">
        <v>8.6999999999999993</v>
      </c>
      <c r="E29" s="61">
        <v>29.07</v>
      </c>
      <c r="F29" s="62">
        <f t="shared" si="1"/>
        <v>252.90899999999999</v>
      </c>
      <c r="G29" s="28"/>
    </row>
    <row r="30" spans="1:7">
      <c r="A30" s="49" t="s">
        <v>442</v>
      </c>
      <c r="B30" s="54" t="s">
        <v>411</v>
      </c>
      <c r="C30" s="53" t="s">
        <v>87</v>
      </c>
      <c r="D30" s="48">
        <v>8.6999999999999993</v>
      </c>
      <c r="E30" s="61">
        <v>10.57</v>
      </c>
      <c r="F30" s="62">
        <f t="shared" si="1"/>
        <v>91.958999999999989</v>
      </c>
      <c r="G30" s="28"/>
    </row>
    <row r="31" spans="1:7">
      <c r="A31" s="49" t="s">
        <v>443</v>
      </c>
      <c r="B31" s="54" t="s">
        <v>271</v>
      </c>
      <c r="C31" s="53" t="s">
        <v>87</v>
      </c>
      <c r="D31" s="48">
        <v>8.6999999999999993</v>
      </c>
      <c r="E31" s="61">
        <v>8.6</v>
      </c>
      <c r="F31" s="62">
        <f t="shared" si="1"/>
        <v>74.819999999999993</v>
      </c>
      <c r="G31" s="28"/>
    </row>
    <row r="32" spans="1:7">
      <c r="A32" s="49" t="s">
        <v>444</v>
      </c>
      <c r="B32" s="54" t="s">
        <v>559</v>
      </c>
      <c r="C32" s="297" t="s">
        <v>87</v>
      </c>
      <c r="D32" s="48">
        <v>28.5</v>
      </c>
      <c r="E32" s="305">
        <f>E26*0.157+E27*0.28+(E28+E30)/2*0.133+E29*0.197+E31*0.18+11.48*0.053</f>
        <v>18.935045000000002</v>
      </c>
      <c r="F32" s="136">
        <f t="shared" si="1"/>
        <v>539.64878250000004</v>
      </c>
      <c r="G32" s="298"/>
    </row>
    <row r="33" spans="1:7" ht="14.25">
      <c r="A33" s="57" t="s">
        <v>445</v>
      </c>
      <c r="B33" s="93" t="s">
        <v>538</v>
      </c>
      <c r="C33" s="53"/>
      <c r="D33" s="48"/>
      <c r="E33" s="305"/>
      <c r="F33" s="62"/>
      <c r="G33" s="28"/>
    </row>
    <row r="34" spans="1:7">
      <c r="A34" s="95" t="s">
        <v>446</v>
      </c>
      <c r="B34" s="54" t="s">
        <v>273</v>
      </c>
      <c r="C34" s="53" t="s">
        <v>87</v>
      </c>
      <c r="D34" s="48">
        <v>30.4</v>
      </c>
      <c r="E34" s="305">
        <v>12.91</v>
      </c>
      <c r="F34" s="62">
        <f t="shared" ref="F34:F47" si="2">E34*D34</f>
        <v>392.464</v>
      </c>
      <c r="G34" s="28"/>
    </row>
    <row r="35" spans="1:7" s="273" customFormat="1">
      <c r="A35" s="95" t="s">
        <v>447</v>
      </c>
      <c r="B35" s="54" t="s">
        <v>274</v>
      </c>
      <c r="C35" s="297" t="s">
        <v>87</v>
      </c>
      <c r="D35" s="48">
        <v>9.1</v>
      </c>
      <c r="E35" s="324">
        <v>12.91</v>
      </c>
      <c r="F35" s="136">
        <f t="shared" si="2"/>
        <v>117.48099999999999</v>
      </c>
      <c r="G35" s="298"/>
    </row>
    <row r="36" spans="1:7">
      <c r="A36" s="95" t="s">
        <v>448</v>
      </c>
      <c r="B36" s="54" t="s">
        <v>412</v>
      </c>
      <c r="C36" s="53" t="s">
        <v>87</v>
      </c>
      <c r="D36" s="48">
        <v>6.1</v>
      </c>
      <c r="E36" s="61">
        <v>42.86</v>
      </c>
      <c r="F36" s="62">
        <f t="shared" si="2"/>
        <v>261.44599999999997</v>
      </c>
      <c r="G36" s="28"/>
    </row>
    <row r="37" spans="1:7">
      <c r="A37" s="95" t="s">
        <v>449</v>
      </c>
      <c r="B37" s="54" t="s">
        <v>275</v>
      </c>
      <c r="C37" s="53" t="s">
        <v>87</v>
      </c>
      <c r="D37" s="48">
        <v>6.1</v>
      </c>
      <c r="E37" s="61">
        <v>12.91</v>
      </c>
      <c r="F37" s="62">
        <f t="shared" si="2"/>
        <v>78.750999999999991</v>
      </c>
      <c r="G37" s="28"/>
    </row>
    <row r="38" spans="1:7">
      <c r="A38" s="95" t="s">
        <v>450</v>
      </c>
      <c r="B38" s="54" t="s">
        <v>276</v>
      </c>
      <c r="C38" s="53" t="s">
        <v>87</v>
      </c>
      <c r="D38" s="48">
        <v>3</v>
      </c>
      <c r="E38" s="61">
        <v>12.91</v>
      </c>
      <c r="F38" s="62">
        <f t="shared" si="2"/>
        <v>38.730000000000004</v>
      </c>
      <c r="G38" s="28"/>
    </row>
    <row r="39" spans="1:7">
      <c r="A39" s="95" t="s">
        <v>451</v>
      </c>
      <c r="B39" s="54" t="s">
        <v>277</v>
      </c>
      <c r="C39" s="297" t="s">
        <v>87</v>
      </c>
      <c r="D39" s="48">
        <v>6.1</v>
      </c>
      <c r="E39" s="61">
        <v>12.91</v>
      </c>
      <c r="F39" s="136">
        <f t="shared" si="2"/>
        <v>78.750999999999991</v>
      </c>
      <c r="G39" s="298"/>
    </row>
    <row r="40" spans="1:7" ht="14.25">
      <c r="A40" s="57" t="s">
        <v>452</v>
      </c>
      <c r="B40" s="93" t="s">
        <v>325</v>
      </c>
      <c r="C40" s="53" t="s">
        <v>278</v>
      </c>
      <c r="D40" s="48">
        <v>54.8</v>
      </c>
      <c r="E40" s="61">
        <v>17.920000000000002</v>
      </c>
      <c r="F40" s="62">
        <f t="shared" si="2"/>
        <v>982.01600000000008</v>
      </c>
      <c r="G40" s="28"/>
    </row>
    <row r="41" spans="1:7" ht="14.25">
      <c r="A41" s="96" t="s">
        <v>453</v>
      </c>
      <c r="B41" s="93" t="s">
        <v>54</v>
      </c>
      <c r="C41" s="53" t="s">
        <v>87</v>
      </c>
      <c r="D41" s="48">
        <v>5.5</v>
      </c>
      <c r="E41" s="61">
        <v>111.71</v>
      </c>
      <c r="F41" s="62">
        <f t="shared" si="2"/>
        <v>614.40499999999997</v>
      </c>
      <c r="G41" s="28"/>
    </row>
    <row r="42" spans="1:7" ht="14.25">
      <c r="A42" s="57" t="s">
        <v>458</v>
      </c>
      <c r="B42" s="93" t="s">
        <v>286</v>
      </c>
      <c r="C42" s="53" t="s">
        <v>87</v>
      </c>
      <c r="D42" s="48">
        <v>23.1</v>
      </c>
      <c r="E42" s="61">
        <v>17.59</v>
      </c>
      <c r="F42" s="62">
        <f t="shared" si="2"/>
        <v>406.32900000000001</v>
      </c>
      <c r="G42" s="28"/>
    </row>
    <row r="43" spans="1:7" ht="14.25">
      <c r="A43" s="57" t="s">
        <v>465</v>
      </c>
      <c r="B43" s="93" t="s">
        <v>288</v>
      </c>
      <c r="C43" s="53" t="s">
        <v>87</v>
      </c>
      <c r="D43" s="48">
        <v>1.1000000000000001</v>
      </c>
      <c r="E43" s="61">
        <v>92.66</v>
      </c>
      <c r="F43" s="62">
        <f t="shared" si="2"/>
        <v>101.926</v>
      </c>
      <c r="G43" s="28"/>
    </row>
    <row r="44" spans="1:7" ht="14.25">
      <c r="A44" s="57" t="s">
        <v>466</v>
      </c>
      <c r="B44" s="93" t="s">
        <v>287</v>
      </c>
      <c r="C44" s="53" t="s">
        <v>87</v>
      </c>
      <c r="D44" s="48">
        <v>6.1</v>
      </c>
      <c r="E44" s="61">
        <f>40.88*0.793+50.56*0.207</f>
        <v>42.883760000000009</v>
      </c>
      <c r="F44" s="62">
        <f t="shared" si="2"/>
        <v>261.59093600000006</v>
      </c>
      <c r="G44" s="28"/>
    </row>
    <row r="45" spans="1:7" ht="14.25">
      <c r="A45" s="57" t="s">
        <v>469</v>
      </c>
      <c r="B45" s="93" t="s">
        <v>60</v>
      </c>
      <c r="C45" s="53" t="s">
        <v>87</v>
      </c>
      <c r="D45" s="48">
        <v>12.8</v>
      </c>
      <c r="E45" s="61">
        <v>117.69999999999999</v>
      </c>
      <c r="F45" s="62">
        <f t="shared" si="2"/>
        <v>1506.56</v>
      </c>
      <c r="G45" s="28"/>
    </row>
    <row r="46" spans="1:7" ht="14.25">
      <c r="A46" s="57" t="s">
        <v>470</v>
      </c>
      <c r="B46" s="93" t="s">
        <v>68</v>
      </c>
      <c r="C46" s="53" t="s">
        <v>87</v>
      </c>
      <c r="D46" s="48">
        <v>5.0999999999999996</v>
      </c>
      <c r="E46" s="61">
        <v>31.89</v>
      </c>
      <c r="F46" s="62">
        <f t="shared" si="2"/>
        <v>162.63899999999998</v>
      </c>
      <c r="G46" s="28"/>
    </row>
    <row r="47" spans="1:7" ht="14.25">
      <c r="A47" s="57" t="s">
        <v>471</v>
      </c>
      <c r="B47" s="93" t="s">
        <v>352</v>
      </c>
      <c r="C47" s="53" t="s">
        <v>88</v>
      </c>
      <c r="D47" s="66">
        <v>365</v>
      </c>
      <c r="E47" s="67">
        <v>1.343</v>
      </c>
      <c r="F47" s="62">
        <f t="shared" si="2"/>
        <v>490.19499999999999</v>
      </c>
      <c r="G47" s="28"/>
    </row>
    <row r="48" spans="1:7" ht="14.25">
      <c r="A48" s="57" t="s">
        <v>472</v>
      </c>
      <c r="B48" s="93" t="s">
        <v>539</v>
      </c>
      <c r="C48" s="53"/>
      <c r="D48" s="48"/>
      <c r="E48" s="61"/>
      <c r="F48" s="62"/>
      <c r="G48" s="28"/>
    </row>
    <row r="49" spans="1:7">
      <c r="A49" s="49" t="s">
        <v>542</v>
      </c>
      <c r="B49" s="54" t="s">
        <v>59</v>
      </c>
      <c r="C49" s="53" t="s">
        <v>87</v>
      </c>
      <c r="D49" s="48">
        <v>82.1</v>
      </c>
      <c r="E49" s="61">
        <v>13.48</v>
      </c>
      <c r="F49" s="62">
        <f>E49*D49</f>
        <v>1106.7079999999999</v>
      </c>
      <c r="G49" s="28"/>
    </row>
    <row r="50" spans="1:7">
      <c r="A50" s="49" t="s">
        <v>543</v>
      </c>
      <c r="B50" s="54" t="s">
        <v>284</v>
      </c>
      <c r="C50" s="53" t="s">
        <v>87</v>
      </c>
      <c r="D50" s="48">
        <v>82.1</v>
      </c>
      <c r="E50" s="61">
        <v>16.899999999999999</v>
      </c>
      <c r="F50" s="62">
        <f>E50*D50</f>
        <v>1387.4899999999998</v>
      </c>
      <c r="G50" s="28"/>
    </row>
    <row r="51" spans="1:7">
      <c r="A51" s="49" t="s">
        <v>544</v>
      </c>
      <c r="B51" s="54" t="s">
        <v>61</v>
      </c>
      <c r="C51" s="53" t="s">
        <v>87</v>
      </c>
      <c r="D51" s="48">
        <v>20.7</v>
      </c>
      <c r="E51" s="61">
        <v>65.78</v>
      </c>
      <c r="F51" s="62">
        <f>E51*D51</f>
        <v>1361.646</v>
      </c>
      <c r="G51" s="28"/>
    </row>
    <row r="52" spans="1:7">
      <c r="A52" s="49" t="s">
        <v>545</v>
      </c>
      <c r="B52" s="54" t="s">
        <v>62</v>
      </c>
      <c r="C52" s="53" t="s">
        <v>87</v>
      </c>
      <c r="D52" s="48">
        <v>7.3</v>
      </c>
      <c r="E52" s="61">
        <v>38.340000000000003</v>
      </c>
      <c r="F52" s="62">
        <f>E52*D52</f>
        <v>279.88200000000001</v>
      </c>
      <c r="G52" s="28"/>
    </row>
    <row r="53" spans="1:7">
      <c r="A53" s="49" t="s">
        <v>546</v>
      </c>
      <c r="B53" s="54" t="s">
        <v>63</v>
      </c>
      <c r="C53" s="53" t="s">
        <v>87</v>
      </c>
      <c r="D53" s="48">
        <v>4.3</v>
      </c>
      <c r="E53" s="61">
        <v>120.63</v>
      </c>
      <c r="F53" s="62">
        <f>E53*D53</f>
        <v>518.70899999999995</v>
      </c>
      <c r="G53" s="28"/>
    </row>
    <row r="54" spans="1:7" ht="14.25">
      <c r="A54" s="57" t="s">
        <v>473</v>
      </c>
      <c r="B54" s="93" t="s">
        <v>540</v>
      </c>
      <c r="C54" s="53"/>
      <c r="D54" s="48"/>
      <c r="E54" s="61"/>
      <c r="F54" s="62"/>
      <c r="G54" s="28"/>
    </row>
    <row r="55" spans="1:7">
      <c r="A55" s="49" t="s">
        <v>547</v>
      </c>
      <c r="B55" s="54" t="s">
        <v>279</v>
      </c>
      <c r="C55" s="297" t="s">
        <v>87</v>
      </c>
      <c r="D55" s="48">
        <v>18.3</v>
      </c>
      <c r="E55" s="61">
        <f>82.87*0.983+75.38*0.017</f>
        <v>82.742670000000004</v>
      </c>
      <c r="F55" s="136">
        <f t="shared" ref="F55:F62" si="3">E55*D55</f>
        <v>1514.190861</v>
      </c>
      <c r="G55" s="298"/>
    </row>
    <row r="56" spans="1:7">
      <c r="A56" s="49" t="s">
        <v>548</v>
      </c>
      <c r="B56" s="54" t="s">
        <v>280</v>
      </c>
      <c r="C56" s="53" t="s">
        <v>87</v>
      </c>
      <c r="D56" s="48">
        <v>9.1999999999999993</v>
      </c>
      <c r="E56" s="61">
        <v>73.83</v>
      </c>
      <c r="F56" s="62">
        <f t="shared" si="3"/>
        <v>679.23599999999988</v>
      </c>
      <c r="G56" s="28"/>
    </row>
    <row r="57" spans="1:7">
      <c r="A57" s="49" t="s">
        <v>549</v>
      </c>
      <c r="B57" s="54" t="s">
        <v>602</v>
      </c>
      <c r="C57" s="53" t="s">
        <v>87</v>
      </c>
      <c r="D57" s="48">
        <v>9.1999999999999993</v>
      </c>
      <c r="E57" s="61">
        <f>39.79*0.912+93.52*0.088</f>
        <v>44.518239999999999</v>
      </c>
      <c r="F57" s="136">
        <f t="shared" si="3"/>
        <v>409.56780799999996</v>
      </c>
      <c r="G57" s="28"/>
    </row>
    <row r="58" spans="1:7">
      <c r="A58" s="49" t="s">
        <v>550</v>
      </c>
      <c r="B58" s="54" t="s">
        <v>293</v>
      </c>
      <c r="C58" s="53" t="s">
        <v>87</v>
      </c>
      <c r="D58" s="48">
        <v>9.1</v>
      </c>
      <c r="E58" s="61">
        <f>77.69*0.204+42.6*0.326+45.52*0.47</f>
        <v>51.130759999999995</v>
      </c>
      <c r="F58" s="136">
        <f t="shared" si="3"/>
        <v>465.28991599999995</v>
      </c>
      <c r="G58" s="28"/>
    </row>
    <row r="59" spans="1:7" s="273" customFormat="1">
      <c r="A59" s="49" t="s">
        <v>551</v>
      </c>
      <c r="B59" s="54" t="s">
        <v>281</v>
      </c>
      <c r="C59" s="297" t="s">
        <v>87</v>
      </c>
      <c r="D59" s="48">
        <v>6.3</v>
      </c>
      <c r="E59" s="61">
        <f>77.8*0.486+73.76*0.514</f>
        <v>75.723440000000011</v>
      </c>
      <c r="F59" s="136">
        <f t="shared" si="3"/>
        <v>477.05767200000008</v>
      </c>
      <c r="G59" s="298"/>
    </row>
    <row r="60" spans="1:7">
      <c r="A60" s="49" t="s">
        <v>552</v>
      </c>
      <c r="B60" s="54" t="s">
        <v>413</v>
      </c>
      <c r="C60" s="53" t="s">
        <v>87</v>
      </c>
      <c r="D60" s="48">
        <v>2.1</v>
      </c>
      <c r="E60" s="61">
        <v>108.71</v>
      </c>
      <c r="F60" s="62">
        <f t="shared" si="3"/>
        <v>228.291</v>
      </c>
      <c r="G60" s="28"/>
    </row>
    <row r="61" spans="1:7">
      <c r="A61" s="49" t="s">
        <v>553</v>
      </c>
      <c r="B61" s="54" t="s">
        <v>282</v>
      </c>
      <c r="C61" s="53" t="s">
        <v>87</v>
      </c>
      <c r="D61" s="48">
        <v>1.5</v>
      </c>
      <c r="E61" s="61">
        <v>115.82</v>
      </c>
      <c r="F61" s="62">
        <f t="shared" si="3"/>
        <v>173.73</v>
      </c>
      <c r="G61" s="28"/>
    </row>
    <row r="62" spans="1:7">
      <c r="A62" s="49" t="s">
        <v>554</v>
      </c>
      <c r="B62" s="54" t="s">
        <v>58</v>
      </c>
      <c r="C62" s="53" t="s">
        <v>87</v>
      </c>
      <c r="D62" s="48">
        <v>1.5</v>
      </c>
      <c r="E62" s="61">
        <v>41.93</v>
      </c>
      <c r="F62" s="62">
        <f t="shared" si="3"/>
        <v>62.894999999999996</v>
      </c>
      <c r="G62" s="28"/>
    </row>
    <row r="63" spans="1:7" ht="14.25">
      <c r="A63" s="57" t="s">
        <v>474</v>
      </c>
      <c r="B63" s="93" t="s">
        <v>560</v>
      </c>
      <c r="C63" s="53"/>
      <c r="D63" s="48"/>
      <c r="E63" s="61"/>
      <c r="F63" s="62"/>
      <c r="G63" s="28"/>
    </row>
    <row r="64" spans="1:7">
      <c r="A64" s="49" t="s">
        <v>555</v>
      </c>
      <c r="B64" s="54" t="s">
        <v>285</v>
      </c>
      <c r="C64" s="53" t="s">
        <v>87</v>
      </c>
      <c r="D64" s="48">
        <v>14.6</v>
      </c>
      <c r="E64" s="61">
        <f>43.51*0.307+66.04*0.693</f>
        <v>59.123289999999997</v>
      </c>
      <c r="F64" s="62">
        <f t="shared" ref="F64:F70" si="4">E64*D64</f>
        <v>863.20003399999996</v>
      </c>
      <c r="G64" s="28"/>
    </row>
    <row r="65" spans="1:7">
      <c r="A65" s="49" t="s">
        <v>556</v>
      </c>
      <c r="B65" s="54" t="s">
        <v>223</v>
      </c>
      <c r="C65" s="53" t="s">
        <v>87</v>
      </c>
      <c r="D65" s="48">
        <v>7.3</v>
      </c>
      <c r="E65" s="61">
        <f>43.51*0.249+66.04*0.563+59.18*0.188</f>
        <v>59.140349999999998</v>
      </c>
      <c r="F65" s="62">
        <f t="shared" si="4"/>
        <v>431.72455499999995</v>
      </c>
      <c r="G65" s="28"/>
    </row>
    <row r="66" spans="1:7" ht="14.25">
      <c r="A66" s="57" t="s">
        <v>475</v>
      </c>
      <c r="B66" s="93" t="s">
        <v>70</v>
      </c>
      <c r="C66" s="53" t="s">
        <v>87</v>
      </c>
      <c r="D66" s="48">
        <v>0.1</v>
      </c>
      <c r="E66" s="61">
        <v>341.1</v>
      </c>
      <c r="F66" s="62">
        <f t="shared" si="4"/>
        <v>34.110000000000007</v>
      </c>
      <c r="G66" s="28"/>
    </row>
    <row r="67" spans="1:7" ht="14.25">
      <c r="A67" s="57" t="s">
        <v>476</v>
      </c>
      <c r="B67" s="93" t="s">
        <v>289</v>
      </c>
      <c r="C67" s="53" t="s">
        <v>87</v>
      </c>
      <c r="D67" s="48">
        <v>0.36499999999999999</v>
      </c>
      <c r="E67" s="61">
        <v>202.8</v>
      </c>
      <c r="F67" s="62">
        <f t="shared" si="4"/>
        <v>74.022000000000006</v>
      </c>
      <c r="G67" s="28"/>
    </row>
    <row r="68" spans="1:7" ht="14.25">
      <c r="A68" s="57" t="s">
        <v>477</v>
      </c>
      <c r="B68" s="93" t="s">
        <v>290</v>
      </c>
      <c r="C68" s="53" t="s">
        <v>87</v>
      </c>
      <c r="D68" s="48">
        <v>0.36499999999999999</v>
      </c>
      <c r="E68" s="61">
        <v>24.08</v>
      </c>
      <c r="F68" s="62">
        <f t="shared" si="4"/>
        <v>8.7891999999999992</v>
      </c>
      <c r="G68" s="28"/>
    </row>
    <row r="69" spans="1:7" ht="14.25">
      <c r="A69" s="57" t="s">
        <v>557</v>
      </c>
      <c r="B69" s="93" t="s">
        <v>69</v>
      </c>
      <c r="C69" s="53" t="s">
        <v>87</v>
      </c>
      <c r="D69" s="48">
        <v>3.3</v>
      </c>
      <c r="E69" s="61">
        <v>4.53</v>
      </c>
      <c r="F69" s="62">
        <f t="shared" si="4"/>
        <v>14.949</v>
      </c>
      <c r="G69" s="28"/>
    </row>
    <row r="70" spans="1:7" ht="14.25">
      <c r="A70" s="97" t="s">
        <v>558</v>
      </c>
      <c r="B70" s="93" t="s">
        <v>291</v>
      </c>
      <c r="C70" s="53" t="s">
        <v>87</v>
      </c>
      <c r="D70" s="98">
        <v>0.1</v>
      </c>
      <c r="E70" s="99">
        <v>363</v>
      </c>
      <c r="F70" s="62">
        <f t="shared" si="4"/>
        <v>36.300000000000004</v>
      </c>
      <c r="G70" s="28"/>
    </row>
    <row r="71" spans="1:7" ht="15.75">
      <c r="A71" s="69" t="s">
        <v>374</v>
      </c>
      <c r="B71" s="70"/>
      <c r="C71" s="40"/>
      <c r="D71" s="40"/>
      <c r="E71" s="61"/>
      <c r="F71" s="71">
        <f>SUM(F12:F70)</f>
        <v>19512.619764500007</v>
      </c>
      <c r="G71" s="28"/>
    </row>
    <row r="72" spans="1:7" ht="15.75">
      <c r="A72" s="72" t="s">
        <v>375</v>
      </c>
      <c r="B72" s="74"/>
      <c r="C72" s="74"/>
      <c r="D72" s="74"/>
      <c r="E72" s="74"/>
      <c r="F72" s="75">
        <f>F71/12</f>
        <v>1626.0516470416671</v>
      </c>
    </row>
    <row r="73" spans="1:7">
      <c r="E73" s="8"/>
    </row>
  </sheetData>
  <mergeCells count="2">
    <mergeCell ref="A1:F1"/>
    <mergeCell ref="A2:F2"/>
  </mergeCells>
  <phoneticPr fontId="29" type="noConversion"/>
  <printOptions horizontalCentered="1"/>
  <pageMargins left="0.27559055118110237" right="0.27559055118110237" top="0.19685039370078741" bottom="0.23622047244094491" header="0.39370078740157483" footer="0.78740157480314965"/>
  <pageSetup paperSize="9" scale="86" orientation="portrait" horizontalDpi="4294967293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"/>
  <sheetViews>
    <sheetView topLeftCell="A31" zoomScale="75" zoomScaleNormal="75" workbookViewId="0">
      <selection activeCell="F57" sqref="F57:F58"/>
    </sheetView>
  </sheetViews>
  <sheetFormatPr defaultRowHeight="12.75"/>
  <cols>
    <col min="1" max="1" width="6.28515625" style="24" customWidth="1"/>
    <col min="2" max="2" width="23.140625" customWidth="1"/>
    <col min="3" max="3" width="7.85546875" customWidth="1"/>
    <col min="4" max="4" width="19.28515625" customWidth="1"/>
    <col min="5" max="5" width="13.28515625" customWidth="1"/>
    <col min="6" max="6" width="13.85546875" customWidth="1"/>
    <col min="7" max="7" width="9.140625" style="36"/>
    <col min="8" max="8" width="4.7109375" style="36" customWidth="1"/>
    <col min="9" max="10" width="4.7109375" style="35" customWidth="1"/>
    <col min="11" max="43" width="4.7109375" customWidth="1"/>
  </cols>
  <sheetData>
    <row r="1" spans="1:11" ht="16.5" customHeight="1">
      <c r="A1" s="346" t="s">
        <v>643</v>
      </c>
      <c r="B1" s="346"/>
      <c r="C1" s="346"/>
      <c r="D1" s="346"/>
      <c r="E1" s="346"/>
      <c r="F1" s="346"/>
      <c r="G1" s="45"/>
      <c r="H1" s="45"/>
      <c r="I1" s="32"/>
      <c r="J1" s="32"/>
      <c r="K1" s="8"/>
    </row>
    <row r="2" spans="1:11" s="5" customFormat="1" ht="17.25" customHeight="1">
      <c r="A2" s="100"/>
      <c r="B2" s="73"/>
      <c r="C2" s="101"/>
      <c r="D2" s="101"/>
      <c r="E2" s="101"/>
      <c r="F2" s="101"/>
      <c r="G2" s="302"/>
      <c r="H2" s="302"/>
      <c r="I2" s="270"/>
      <c r="J2" s="270"/>
      <c r="K2" s="20"/>
    </row>
    <row r="3" spans="1:11">
      <c r="A3" s="80" t="s">
        <v>42</v>
      </c>
      <c r="B3" s="224" t="s">
        <v>303</v>
      </c>
      <c r="C3" s="81" t="s">
        <v>92</v>
      </c>
      <c r="D3" s="82" t="s">
        <v>97</v>
      </c>
      <c r="E3" s="82" t="s">
        <v>94</v>
      </c>
      <c r="F3" s="81" t="s">
        <v>107</v>
      </c>
      <c r="G3" s="45"/>
      <c r="H3" s="45"/>
      <c r="I3" s="32"/>
      <c r="J3" s="302"/>
      <c r="K3" s="8"/>
    </row>
    <row r="4" spans="1:11">
      <c r="A4" s="222" t="s">
        <v>373</v>
      </c>
      <c r="B4" s="83" t="s">
        <v>304</v>
      </c>
      <c r="C4" s="79" t="s">
        <v>81</v>
      </c>
      <c r="D4" s="243" t="s">
        <v>628</v>
      </c>
      <c r="E4" s="243" t="s">
        <v>95</v>
      </c>
      <c r="F4" s="79" t="s">
        <v>105</v>
      </c>
      <c r="G4" s="45"/>
      <c r="H4" s="45"/>
      <c r="I4" s="32"/>
      <c r="J4" s="303"/>
      <c r="K4" s="8"/>
    </row>
    <row r="5" spans="1:11">
      <c r="A5" s="225"/>
      <c r="B5" s="227"/>
      <c r="C5" s="79"/>
      <c r="D5" s="243" t="s">
        <v>630</v>
      </c>
      <c r="E5" s="79" t="s">
        <v>632</v>
      </c>
      <c r="F5" s="79"/>
      <c r="G5" s="45"/>
      <c r="H5" s="45"/>
      <c r="I5" s="32"/>
      <c r="J5" s="302"/>
      <c r="K5" s="8"/>
    </row>
    <row r="6" spans="1:11">
      <c r="A6" s="225"/>
      <c r="B6" s="248"/>
      <c r="C6" s="243"/>
      <c r="D6" s="79"/>
      <c r="E6" s="79" t="s">
        <v>669</v>
      </c>
      <c r="F6" s="79"/>
      <c r="G6" s="304"/>
      <c r="H6" s="45"/>
      <c r="I6" s="32"/>
      <c r="J6" s="302"/>
      <c r="K6" s="8"/>
    </row>
    <row r="7" spans="1:11">
      <c r="A7" s="229"/>
      <c r="B7" s="277"/>
      <c r="C7" s="278"/>
      <c r="D7" s="123"/>
      <c r="E7" s="278" t="s">
        <v>657</v>
      </c>
      <c r="F7" s="123" t="s">
        <v>657</v>
      </c>
      <c r="G7" s="45"/>
      <c r="H7" s="45"/>
      <c r="I7" s="32"/>
      <c r="J7" s="302"/>
      <c r="K7" s="8"/>
    </row>
    <row r="8" spans="1:11" ht="14.25">
      <c r="A8" s="57">
        <v>1</v>
      </c>
      <c r="B8" s="68" t="s">
        <v>315</v>
      </c>
      <c r="C8" s="53"/>
      <c r="D8" s="47"/>
      <c r="E8" s="53"/>
      <c r="F8" s="48"/>
      <c r="G8" s="45"/>
      <c r="H8" s="45"/>
      <c r="I8" s="32"/>
      <c r="J8" s="32"/>
      <c r="K8" s="8"/>
    </row>
    <row r="9" spans="1:11">
      <c r="A9" s="49" t="s">
        <v>424</v>
      </c>
      <c r="B9" s="35" t="s">
        <v>119</v>
      </c>
      <c r="C9" s="53" t="s">
        <v>87</v>
      </c>
      <c r="D9" s="47">
        <v>0.4</v>
      </c>
      <c r="E9" s="169">
        <v>10.01</v>
      </c>
      <c r="F9" s="62">
        <f t="shared" ref="F9:F20" si="0">E9*D9</f>
        <v>4.0040000000000004</v>
      </c>
      <c r="G9" s="61"/>
      <c r="H9" s="61"/>
      <c r="I9" s="32"/>
      <c r="J9" s="61"/>
      <c r="K9" s="8"/>
    </row>
    <row r="10" spans="1:11">
      <c r="A10" s="49" t="s">
        <v>425</v>
      </c>
      <c r="B10" s="35" t="s">
        <v>120</v>
      </c>
      <c r="C10" s="53" t="s">
        <v>87</v>
      </c>
      <c r="D10" s="106">
        <v>9</v>
      </c>
      <c r="E10" s="169">
        <v>9.1300000000000008</v>
      </c>
      <c r="F10" s="62">
        <f t="shared" si="0"/>
        <v>82.17</v>
      </c>
      <c r="G10" s="61"/>
      <c r="H10" s="61"/>
      <c r="I10" s="32"/>
      <c r="J10" s="61"/>
      <c r="K10" s="8"/>
    </row>
    <row r="11" spans="1:11">
      <c r="A11" s="49" t="s">
        <v>426</v>
      </c>
      <c r="B11" s="35" t="s">
        <v>49</v>
      </c>
      <c r="C11" s="53" t="s">
        <v>87</v>
      </c>
      <c r="D11" s="106">
        <v>39</v>
      </c>
      <c r="E11" s="169">
        <v>11.67</v>
      </c>
      <c r="F11" s="62">
        <f t="shared" si="0"/>
        <v>455.13</v>
      </c>
      <c r="G11" s="61"/>
      <c r="H11" s="61"/>
      <c r="I11" s="32"/>
      <c r="J11" s="61"/>
      <c r="K11" s="8"/>
    </row>
    <row r="12" spans="1:11">
      <c r="A12" s="49" t="s">
        <v>427</v>
      </c>
      <c r="B12" s="35" t="s">
        <v>48</v>
      </c>
      <c r="C12" s="53" t="s">
        <v>87</v>
      </c>
      <c r="D12" s="106">
        <v>62</v>
      </c>
      <c r="E12" s="169">
        <v>12.48</v>
      </c>
      <c r="F12" s="62">
        <f t="shared" si="0"/>
        <v>773.76</v>
      </c>
      <c r="G12" s="61"/>
      <c r="H12" s="61"/>
      <c r="I12" s="32"/>
      <c r="J12" s="61"/>
      <c r="K12" s="8"/>
    </row>
    <row r="13" spans="1:11">
      <c r="A13" s="49" t="s">
        <v>428</v>
      </c>
      <c r="B13" s="35" t="s">
        <v>50</v>
      </c>
      <c r="C13" s="53" t="s">
        <v>87</v>
      </c>
      <c r="D13" s="106">
        <v>4</v>
      </c>
      <c r="E13" s="169">
        <v>15.57</v>
      </c>
      <c r="F13" s="62">
        <f t="shared" si="0"/>
        <v>62.28</v>
      </c>
      <c r="G13" s="61"/>
      <c r="H13" s="61"/>
      <c r="I13" s="32"/>
      <c r="J13" s="61"/>
      <c r="K13" s="8"/>
    </row>
    <row r="14" spans="1:11">
      <c r="A14" s="49" t="s">
        <v>429</v>
      </c>
      <c r="B14" s="35" t="s">
        <v>47</v>
      </c>
      <c r="C14" s="53" t="s">
        <v>87</v>
      </c>
      <c r="D14" s="47">
        <v>2.5</v>
      </c>
      <c r="E14" s="169">
        <v>21.99</v>
      </c>
      <c r="F14" s="62">
        <f t="shared" si="0"/>
        <v>54.974999999999994</v>
      </c>
      <c r="G14" s="61"/>
      <c r="H14" s="61"/>
      <c r="I14" s="32"/>
      <c r="J14" s="61"/>
      <c r="K14" s="8"/>
    </row>
    <row r="15" spans="1:11">
      <c r="A15" s="49" t="s">
        <v>430</v>
      </c>
      <c r="B15" s="35" t="s">
        <v>122</v>
      </c>
      <c r="C15" s="53" t="s">
        <v>87</v>
      </c>
      <c r="D15" s="106">
        <v>1</v>
      </c>
      <c r="E15" s="169">
        <v>11.19</v>
      </c>
      <c r="F15" s="62">
        <f t="shared" si="0"/>
        <v>11.19</v>
      </c>
      <c r="G15" s="61"/>
      <c r="H15" s="61"/>
      <c r="I15" s="32"/>
      <c r="J15" s="61"/>
      <c r="K15" s="8"/>
    </row>
    <row r="16" spans="1:11">
      <c r="A16" s="49" t="s">
        <v>431</v>
      </c>
      <c r="B16" s="35" t="s">
        <v>123</v>
      </c>
      <c r="C16" s="53" t="s">
        <v>87</v>
      </c>
      <c r="D16" s="106">
        <v>2</v>
      </c>
      <c r="E16" s="169">
        <v>38.39</v>
      </c>
      <c r="F16" s="62">
        <f t="shared" si="0"/>
        <v>76.78</v>
      </c>
      <c r="G16" s="61"/>
      <c r="H16" s="61"/>
      <c r="I16" s="32"/>
      <c r="J16" s="61"/>
      <c r="K16" s="8"/>
    </row>
    <row r="17" spans="1:11">
      <c r="A17" s="49" t="s">
        <v>432</v>
      </c>
      <c r="B17" s="35" t="s">
        <v>124</v>
      </c>
      <c r="C17" s="53" t="s">
        <v>87</v>
      </c>
      <c r="D17" s="47">
        <v>1.1000000000000001</v>
      </c>
      <c r="E17" s="169">
        <v>22.73</v>
      </c>
      <c r="F17" s="62">
        <f t="shared" si="0"/>
        <v>25.003000000000004</v>
      </c>
      <c r="G17" s="61"/>
      <c r="H17" s="61"/>
      <c r="I17" s="32"/>
      <c r="J17" s="61"/>
      <c r="K17" s="8"/>
    </row>
    <row r="18" spans="1:11">
      <c r="A18" s="49" t="s">
        <v>433</v>
      </c>
      <c r="B18" s="35" t="s">
        <v>46</v>
      </c>
      <c r="C18" s="53" t="s">
        <v>87</v>
      </c>
      <c r="D18" s="47">
        <v>1.9</v>
      </c>
      <c r="E18" s="169">
        <v>14.77</v>
      </c>
      <c r="F18" s="62">
        <f t="shared" si="0"/>
        <v>28.062999999999999</v>
      </c>
      <c r="G18" s="61"/>
      <c r="H18" s="61"/>
      <c r="I18" s="32"/>
      <c r="J18" s="61"/>
      <c r="K18" s="8"/>
    </row>
    <row r="19" spans="1:11">
      <c r="A19" s="49" t="s">
        <v>434</v>
      </c>
      <c r="B19" s="35" t="s">
        <v>53</v>
      </c>
      <c r="C19" s="297" t="s">
        <v>87</v>
      </c>
      <c r="D19" s="47">
        <v>0.5</v>
      </c>
      <c r="E19" s="169">
        <v>8.77</v>
      </c>
      <c r="F19" s="136">
        <f t="shared" si="0"/>
        <v>4.3849999999999998</v>
      </c>
      <c r="G19" s="61"/>
      <c r="H19" s="61"/>
      <c r="I19" s="32"/>
      <c r="J19" s="61"/>
      <c r="K19" s="8"/>
    </row>
    <row r="20" spans="1:11" ht="14.25">
      <c r="A20" s="57">
        <v>2</v>
      </c>
      <c r="B20" s="68" t="s">
        <v>43</v>
      </c>
      <c r="C20" s="53" t="s">
        <v>87</v>
      </c>
      <c r="D20" s="106">
        <v>95</v>
      </c>
      <c r="E20" s="169">
        <v>5.79</v>
      </c>
      <c r="F20" s="62">
        <f t="shared" si="0"/>
        <v>550.04999999999995</v>
      </c>
      <c r="G20" s="61"/>
      <c r="H20" s="61"/>
      <c r="I20" s="32"/>
      <c r="J20" s="61"/>
      <c r="K20" s="8"/>
    </row>
    <row r="21" spans="1:11" ht="14.25">
      <c r="A21" s="57">
        <v>3</v>
      </c>
      <c r="B21" s="68" t="s">
        <v>561</v>
      </c>
      <c r="C21" s="53"/>
      <c r="D21" s="47"/>
      <c r="E21" s="169"/>
      <c r="F21" s="62"/>
      <c r="G21" s="61"/>
      <c r="H21" s="61"/>
      <c r="I21" s="32"/>
      <c r="J21" s="61"/>
      <c r="K21" s="8"/>
    </row>
    <row r="22" spans="1:11">
      <c r="A22" s="49" t="s">
        <v>478</v>
      </c>
      <c r="B22" s="35" t="s">
        <v>52</v>
      </c>
      <c r="C22" s="53" t="s">
        <v>87</v>
      </c>
      <c r="D22" s="106">
        <v>28</v>
      </c>
      <c r="E22" s="335">
        <v>8.32</v>
      </c>
      <c r="F22" s="62">
        <f t="shared" ref="F22:F27" si="1">E22*D22</f>
        <v>232.96</v>
      </c>
      <c r="G22" s="61"/>
      <c r="H22" s="61"/>
      <c r="I22" s="32"/>
      <c r="J22" s="61"/>
      <c r="K22" s="8"/>
    </row>
    <row r="23" spans="1:11">
      <c r="A23" s="49" t="s">
        <v>479</v>
      </c>
      <c r="B23" s="35" t="s">
        <v>562</v>
      </c>
      <c r="C23" s="297" t="s">
        <v>87</v>
      </c>
      <c r="D23" s="106">
        <v>25</v>
      </c>
      <c r="E23" s="335">
        <v>29.07</v>
      </c>
      <c r="F23" s="136">
        <f t="shared" si="1"/>
        <v>726.75</v>
      </c>
      <c r="G23" s="296"/>
      <c r="H23" s="61"/>
      <c r="I23" s="32"/>
      <c r="J23" s="61"/>
      <c r="K23" s="8"/>
    </row>
    <row r="24" spans="1:11">
      <c r="A24" s="49" t="s">
        <v>480</v>
      </c>
      <c r="B24" s="35" t="s">
        <v>563</v>
      </c>
      <c r="C24" s="297" t="s">
        <v>87</v>
      </c>
      <c r="D24" s="106">
        <v>18</v>
      </c>
      <c r="E24" s="335">
        <f>(13.58+10.57)/2</f>
        <v>12.074999999999999</v>
      </c>
      <c r="F24" s="136">
        <f t="shared" si="1"/>
        <v>217.35</v>
      </c>
      <c r="G24" s="61"/>
      <c r="H24" s="61"/>
      <c r="I24" s="32"/>
      <c r="J24" s="61"/>
      <c r="K24" s="8"/>
    </row>
    <row r="25" spans="1:11">
      <c r="A25" s="49" t="s">
        <v>481</v>
      </c>
      <c r="B25" s="35" t="s">
        <v>125</v>
      </c>
      <c r="C25" s="53" t="s">
        <v>87</v>
      </c>
      <c r="D25" s="106">
        <v>10</v>
      </c>
      <c r="E25" s="335">
        <f>8.6*0.962+109.62*0.038</f>
        <v>12.438759999999998</v>
      </c>
      <c r="F25" s="62">
        <f t="shared" si="1"/>
        <v>124.38759999999999</v>
      </c>
      <c r="G25" s="61"/>
      <c r="H25" s="61"/>
      <c r="I25" s="32"/>
      <c r="J25" s="61"/>
      <c r="K25" s="8"/>
    </row>
    <row r="26" spans="1:11">
      <c r="A26" s="49" t="s">
        <v>482</v>
      </c>
      <c r="B26" s="35" t="s">
        <v>51</v>
      </c>
      <c r="C26" s="53" t="s">
        <v>87</v>
      </c>
      <c r="D26" s="106">
        <v>16</v>
      </c>
      <c r="E26" s="335">
        <v>11.48</v>
      </c>
      <c r="F26" s="62">
        <f t="shared" si="1"/>
        <v>183.68</v>
      </c>
      <c r="G26" s="61"/>
      <c r="H26" s="61"/>
      <c r="I26" s="32"/>
      <c r="J26" s="61"/>
      <c r="K26" s="8"/>
    </row>
    <row r="27" spans="1:11">
      <c r="A27" s="49" t="s">
        <v>483</v>
      </c>
      <c r="B27" s="35" t="s">
        <v>53</v>
      </c>
      <c r="C27" s="297" t="s">
        <v>87</v>
      </c>
      <c r="D27" s="106">
        <v>13</v>
      </c>
      <c r="E27" s="335">
        <f>E22*0.156+E23*0.473+E24*0.132+E25*0.186+E26*0.053</f>
        <v>19.563979360000001</v>
      </c>
      <c r="F27" s="136">
        <f t="shared" si="1"/>
        <v>254.33173168000002</v>
      </c>
      <c r="G27" s="296"/>
      <c r="H27" s="296"/>
      <c r="I27" s="270"/>
      <c r="J27" s="296"/>
      <c r="K27" s="8"/>
    </row>
    <row r="28" spans="1:11" ht="14.25">
      <c r="A28" s="57">
        <v>4</v>
      </c>
      <c r="B28" s="68" t="s">
        <v>66</v>
      </c>
      <c r="C28" s="53"/>
      <c r="D28" s="107"/>
      <c r="E28" s="169"/>
      <c r="F28" s="62"/>
      <c r="G28" s="61"/>
      <c r="H28" s="61"/>
      <c r="I28" s="32"/>
      <c r="J28" s="61"/>
      <c r="K28" s="8"/>
    </row>
    <row r="29" spans="1:11">
      <c r="A29" s="49" t="s">
        <v>438</v>
      </c>
      <c r="B29" s="108" t="s">
        <v>564</v>
      </c>
      <c r="C29" s="297" t="s">
        <v>87</v>
      </c>
      <c r="D29" s="106">
        <v>60</v>
      </c>
      <c r="E29" s="169">
        <v>12.91</v>
      </c>
      <c r="F29" s="136">
        <f>E29*D29</f>
        <v>774.6</v>
      </c>
      <c r="G29" s="61"/>
      <c r="H29" s="61"/>
      <c r="I29" s="32"/>
      <c r="J29" s="61"/>
      <c r="K29" s="8"/>
    </row>
    <row r="30" spans="1:11">
      <c r="A30" s="49" t="s">
        <v>439</v>
      </c>
      <c r="B30" s="108" t="s">
        <v>54</v>
      </c>
      <c r="C30" s="53" t="s">
        <v>87</v>
      </c>
      <c r="D30" s="106">
        <v>4</v>
      </c>
      <c r="E30" s="169">
        <v>111.71</v>
      </c>
      <c r="F30" s="62">
        <f>E30*D30</f>
        <v>446.84</v>
      </c>
      <c r="G30" s="61"/>
      <c r="H30" s="61"/>
      <c r="I30" s="32"/>
      <c r="J30" s="61"/>
      <c r="K30" s="8"/>
    </row>
    <row r="31" spans="1:11" ht="14.25">
      <c r="A31" s="57" t="s">
        <v>445</v>
      </c>
      <c r="B31" s="68" t="s">
        <v>633</v>
      </c>
      <c r="C31" s="53"/>
      <c r="D31" s="47"/>
      <c r="E31" s="169"/>
      <c r="F31" s="62"/>
      <c r="G31" s="61"/>
      <c r="H31" s="61"/>
      <c r="I31" s="32"/>
      <c r="J31" s="61"/>
      <c r="K31" s="8"/>
    </row>
    <row r="32" spans="1:11" ht="15">
      <c r="A32" s="49" t="s">
        <v>446</v>
      </c>
      <c r="B32" s="109" t="s">
        <v>134</v>
      </c>
      <c r="C32" s="53" t="s">
        <v>87</v>
      </c>
      <c r="D32" s="106">
        <v>24</v>
      </c>
      <c r="E32" s="169">
        <v>17.59</v>
      </c>
      <c r="F32" s="62">
        <f>E32*D32</f>
        <v>422.15999999999997</v>
      </c>
      <c r="G32" s="61"/>
      <c r="H32" s="61"/>
      <c r="I32" s="32"/>
      <c r="J32" s="61"/>
      <c r="K32" s="8"/>
    </row>
    <row r="33" spans="1:12">
      <c r="A33" s="49" t="s">
        <v>447</v>
      </c>
      <c r="B33" s="108" t="s">
        <v>287</v>
      </c>
      <c r="C33" s="297" t="s">
        <v>87</v>
      </c>
      <c r="D33" s="106">
        <v>13</v>
      </c>
      <c r="E33" s="62">
        <f>40.88*0.793+50.56*0.207</f>
        <v>42.883760000000009</v>
      </c>
      <c r="F33" s="136">
        <f>E33*D33</f>
        <v>557.48888000000011</v>
      </c>
      <c r="G33" s="296"/>
      <c r="H33" s="61"/>
      <c r="I33" s="32"/>
      <c r="J33" s="61"/>
      <c r="K33" s="8"/>
    </row>
    <row r="34" spans="1:12" ht="14.25">
      <c r="A34" s="57" t="s">
        <v>452</v>
      </c>
      <c r="B34" s="110" t="s">
        <v>68</v>
      </c>
      <c r="C34" s="53" t="s">
        <v>87</v>
      </c>
      <c r="D34" s="47">
        <v>7.1</v>
      </c>
      <c r="E34" s="169">
        <v>31.89</v>
      </c>
      <c r="F34" s="62">
        <f>E34*D34</f>
        <v>226.41899999999998</v>
      </c>
      <c r="G34" s="61"/>
      <c r="H34" s="61"/>
      <c r="I34" s="32"/>
      <c r="J34" s="61"/>
      <c r="K34" s="8"/>
    </row>
    <row r="35" spans="1:12" ht="14.25">
      <c r="A35" s="57" t="s">
        <v>453</v>
      </c>
      <c r="B35" s="68" t="s">
        <v>67</v>
      </c>
      <c r="C35" s="53" t="s">
        <v>87</v>
      </c>
      <c r="D35" s="106">
        <v>2</v>
      </c>
      <c r="E35" s="169">
        <v>43.7</v>
      </c>
      <c r="F35" s="62">
        <f>E35*D35</f>
        <v>87.4</v>
      </c>
      <c r="G35" s="61"/>
      <c r="H35" s="61"/>
      <c r="I35" s="32"/>
      <c r="J35" s="61"/>
      <c r="K35" s="8"/>
    </row>
    <row r="36" spans="1:12" ht="14.25">
      <c r="A36" s="57" t="s">
        <v>458</v>
      </c>
      <c r="B36" s="111" t="s">
        <v>45</v>
      </c>
      <c r="C36" s="53"/>
      <c r="D36" s="106"/>
      <c r="E36" s="169"/>
      <c r="F36" s="62"/>
      <c r="G36" s="61"/>
      <c r="H36" s="61"/>
      <c r="I36" s="32"/>
      <c r="J36" s="61"/>
      <c r="K36" s="8"/>
    </row>
    <row r="37" spans="1:12">
      <c r="A37" s="49" t="s">
        <v>459</v>
      </c>
      <c r="B37" s="108" t="s">
        <v>55</v>
      </c>
      <c r="C37" s="53" t="s">
        <v>87</v>
      </c>
      <c r="D37" s="106">
        <v>14</v>
      </c>
      <c r="E37" s="169">
        <v>82.87</v>
      </c>
      <c r="F37" s="62">
        <f t="shared" ref="F37:F44" si="2">E37*D37</f>
        <v>1160.18</v>
      </c>
      <c r="G37" s="61"/>
      <c r="H37" s="61"/>
      <c r="I37" s="32"/>
      <c r="J37" s="61"/>
      <c r="K37" s="301"/>
      <c r="L37" s="26"/>
    </row>
    <row r="38" spans="1:12">
      <c r="A38" s="49" t="s">
        <v>460</v>
      </c>
      <c r="B38" s="108" t="s">
        <v>57</v>
      </c>
      <c r="C38" s="53" t="s">
        <v>87</v>
      </c>
      <c r="D38" s="106">
        <v>2</v>
      </c>
      <c r="E38" s="169">
        <v>75.38</v>
      </c>
      <c r="F38" s="62">
        <f t="shared" si="2"/>
        <v>150.76</v>
      </c>
      <c r="G38" s="61"/>
      <c r="H38" s="61"/>
      <c r="I38" s="32"/>
      <c r="J38" s="61"/>
      <c r="K38" s="8"/>
    </row>
    <row r="39" spans="1:12">
      <c r="A39" s="49" t="s">
        <v>461</v>
      </c>
      <c r="B39" s="108" t="s">
        <v>565</v>
      </c>
      <c r="C39" s="53" t="s">
        <v>87</v>
      </c>
      <c r="D39" s="106">
        <v>2</v>
      </c>
      <c r="E39" s="169">
        <v>93.52</v>
      </c>
      <c r="F39" s="62">
        <f t="shared" si="2"/>
        <v>187.04</v>
      </c>
      <c r="G39" s="61"/>
      <c r="H39" s="61"/>
      <c r="I39" s="32"/>
      <c r="J39" s="61"/>
      <c r="K39" s="8"/>
    </row>
    <row r="40" spans="1:12">
      <c r="A40" s="49" t="s">
        <v>462</v>
      </c>
      <c r="B40" s="108" t="s">
        <v>56</v>
      </c>
      <c r="C40" s="53" t="s">
        <v>87</v>
      </c>
      <c r="D40" s="106">
        <v>8</v>
      </c>
      <c r="E40" s="169">
        <v>73.83</v>
      </c>
      <c r="F40" s="62">
        <f t="shared" si="2"/>
        <v>590.64</v>
      </c>
      <c r="G40" s="61"/>
      <c r="H40" s="61"/>
      <c r="I40" s="32"/>
      <c r="J40" s="61"/>
      <c r="K40" s="8"/>
    </row>
    <row r="41" spans="1:12">
      <c r="A41" s="49" t="s">
        <v>463</v>
      </c>
      <c r="B41" s="108" t="s">
        <v>219</v>
      </c>
      <c r="C41" s="53" t="s">
        <v>87</v>
      </c>
      <c r="D41" s="106">
        <v>4</v>
      </c>
      <c r="E41" s="62">
        <f>77.69*0.204+42.6*0.326+45.52*0.47</f>
        <v>51.130759999999995</v>
      </c>
      <c r="F41" s="136">
        <f t="shared" si="2"/>
        <v>204.52303999999998</v>
      </c>
      <c r="G41" s="61"/>
      <c r="H41" s="61"/>
      <c r="I41" s="32"/>
      <c r="J41" s="61"/>
      <c r="K41" s="8"/>
    </row>
    <row r="42" spans="1:12">
      <c r="A42" s="49" t="s">
        <v>464</v>
      </c>
      <c r="B42" s="108" t="s">
        <v>222</v>
      </c>
      <c r="C42" s="53" t="s">
        <v>87</v>
      </c>
      <c r="D42" s="106">
        <v>12</v>
      </c>
      <c r="E42" s="169">
        <v>39.79</v>
      </c>
      <c r="F42" s="62">
        <f t="shared" si="2"/>
        <v>477.48</v>
      </c>
      <c r="G42" s="61"/>
      <c r="H42" s="61"/>
      <c r="I42" s="32"/>
      <c r="J42" s="61"/>
      <c r="K42" s="8"/>
    </row>
    <row r="43" spans="1:12">
      <c r="A43" s="49" t="s">
        <v>484</v>
      </c>
      <c r="B43" s="108" t="s">
        <v>58</v>
      </c>
      <c r="C43" s="53" t="s">
        <v>87</v>
      </c>
      <c r="D43" s="106">
        <v>2</v>
      </c>
      <c r="E43" s="169">
        <v>41.93</v>
      </c>
      <c r="F43" s="62">
        <f t="shared" si="2"/>
        <v>83.86</v>
      </c>
      <c r="G43" s="61"/>
      <c r="H43" s="61"/>
      <c r="I43" s="32"/>
      <c r="J43" s="61"/>
      <c r="K43" s="8"/>
    </row>
    <row r="44" spans="1:12">
      <c r="A44" s="294" t="s">
        <v>485</v>
      </c>
      <c r="B44" s="300" t="s">
        <v>220</v>
      </c>
      <c r="C44" s="297" t="s">
        <v>87</v>
      </c>
      <c r="D44" s="106">
        <v>9</v>
      </c>
      <c r="E44" s="169">
        <f>77.8*0.339+73.76*0.359+108.71*0.302</f>
        <v>85.684460000000001</v>
      </c>
      <c r="F44" s="136">
        <f t="shared" si="2"/>
        <v>771.16013999999996</v>
      </c>
      <c r="G44" s="296"/>
      <c r="H44" s="61"/>
      <c r="I44" s="32"/>
      <c r="J44" s="61"/>
      <c r="K44" s="8"/>
    </row>
    <row r="45" spans="1:12" ht="14.25">
      <c r="A45" s="57" t="s">
        <v>465</v>
      </c>
      <c r="B45" s="68" t="s">
        <v>223</v>
      </c>
      <c r="C45" s="53"/>
      <c r="D45" s="106"/>
      <c r="E45" s="169"/>
      <c r="F45" s="62"/>
      <c r="G45" s="61"/>
      <c r="H45" s="61"/>
      <c r="I45" s="32"/>
      <c r="J45" s="61"/>
      <c r="K45" s="8"/>
    </row>
    <row r="46" spans="1:12">
      <c r="A46" s="49" t="s">
        <v>486</v>
      </c>
      <c r="B46" s="35" t="s">
        <v>64</v>
      </c>
      <c r="C46" s="53" t="s">
        <v>87</v>
      </c>
      <c r="D46" s="106">
        <v>7</v>
      </c>
      <c r="E46" s="169">
        <v>43.51</v>
      </c>
      <c r="F46" s="62">
        <f>E46*D46</f>
        <v>304.57</v>
      </c>
      <c r="G46" s="61"/>
      <c r="H46" s="61"/>
      <c r="I46" s="32"/>
      <c r="J46" s="61"/>
      <c r="K46" s="8"/>
    </row>
    <row r="47" spans="1:12">
      <c r="A47" s="49" t="s">
        <v>487</v>
      </c>
      <c r="B47" s="35" t="s">
        <v>65</v>
      </c>
      <c r="C47" s="53" t="s">
        <v>87</v>
      </c>
      <c r="D47" s="106">
        <v>4</v>
      </c>
      <c r="E47" s="169">
        <v>59.18</v>
      </c>
      <c r="F47" s="62">
        <f>E47*D47</f>
        <v>236.72</v>
      </c>
      <c r="G47" s="61"/>
      <c r="H47" s="61"/>
      <c r="I47" s="32"/>
      <c r="J47" s="61"/>
      <c r="K47" s="8"/>
    </row>
    <row r="48" spans="1:12">
      <c r="A48" s="294" t="s">
        <v>488</v>
      </c>
      <c r="B48" s="290" t="s">
        <v>53</v>
      </c>
      <c r="C48" s="297" t="s">
        <v>87</v>
      </c>
      <c r="D48" s="106">
        <v>2</v>
      </c>
      <c r="E48" s="169">
        <f>43.51*0.25+66.04*0.562+59.18*0.188</f>
        <v>59.117820000000009</v>
      </c>
      <c r="F48" s="136">
        <f>E48*D48</f>
        <v>118.23564000000002</v>
      </c>
      <c r="G48" s="296"/>
      <c r="H48" s="61"/>
      <c r="I48" s="32"/>
      <c r="J48" s="61"/>
      <c r="K48" s="8"/>
    </row>
    <row r="49" spans="1:11" ht="14.25">
      <c r="A49" s="57" t="s">
        <v>466</v>
      </c>
      <c r="B49" s="68" t="s">
        <v>221</v>
      </c>
      <c r="C49" s="53"/>
      <c r="D49" s="106"/>
      <c r="E49" s="169"/>
      <c r="F49" s="62"/>
      <c r="G49" s="61"/>
      <c r="H49" s="61"/>
      <c r="I49" s="32"/>
      <c r="J49" s="61"/>
      <c r="K49" s="8"/>
    </row>
    <row r="50" spans="1:11">
      <c r="A50" s="49" t="s">
        <v>467</v>
      </c>
      <c r="B50" s="35" t="s">
        <v>59</v>
      </c>
      <c r="C50" s="53" t="s">
        <v>87</v>
      </c>
      <c r="D50" s="106">
        <v>60</v>
      </c>
      <c r="E50" s="169">
        <v>13.48</v>
      </c>
      <c r="F50" s="62">
        <f t="shared" ref="F50:F56" si="3">E50*D50</f>
        <v>808.80000000000007</v>
      </c>
      <c r="G50" s="61"/>
      <c r="H50" s="61"/>
      <c r="I50" s="32"/>
      <c r="J50" s="61"/>
      <c r="K50" s="8"/>
    </row>
    <row r="51" spans="1:11">
      <c r="A51" s="49" t="s">
        <v>468</v>
      </c>
      <c r="B51" s="35" t="s">
        <v>312</v>
      </c>
      <c r="C51" s="53" t="s">
        <v>87</v>
      </c>
      <c r="D51" s="106">
        <v>65</v>
      </c>
      <c r="E51" s="169">
        <v>13.48</v>
      </c>
      <c r="F51" s="62">
        <f t="shared" si="3"/>
        <v>876.2</v>
      </c>
      <c r="G51" s="61"/>
      <c r="H51" s="61"/>
      <c r="I51" s="32"/>
      <c r="J51" s="61"/>
      <c r="K51" s="8"/>
    </row>
    <row r="52" spans="1:11">
      <c r="A52" s="49" t="s">
        <v>489</v>
      </c>
      <c r="B52" s="35" t="s">
        <v>60</v>
      </c>
      <c r="C52" s="53" t="s">
        <v>87</v>
      </c>
      <c r="D52" s="106">
        <v>5</v>
      </c>
      <c r="E52" s="169">
        <v>117.69999999999999</v>
      </c>
      <c r="F52" s="62">
        <f t="shared" si="3"/>
        <v>588.5</v>
      </c>
      <c r="G52" s="61"/>
      <c r="H52" s="61"/>
      <c r="I52" s="32"/>
      <c r="J52" s="61"/>
      <c r="K52" s="8"/>
    </row>
    <row r="53" spans="1:11">
      <c r="A53" s="49" t="s">
        <v>490</v>
      </c>
      <c r="B53" s="35" t="s">
        <v>63</v>
      </c>
      <c r="C53" s="53" t="s">
        <v>87</v>
      </c>
      <c r="D53" s="107">
        <v>3.5</v>
      </c>
      <c r="E53" s="169">
        <v>120.63</v>
      </c>
      <c r="F53" s="62">
        <f t="shared" si="3"/>
        <v>422.20499999999998</v>
      </c>
      <c r="G53" s="61"/>
      <c r="H53" s="61"/>
      <c r="I53" s="32"/>
      <c r="J53" s="61"/>
      <c r="K53" s="8"/>
    </row>
    <row r="54" spans="1:11">
      <c r="A54" s="49" t="s">
        <v>491</v>
      </c>
      <c r="B54" s="35" t="s">
        <v>321</v>
      </c>
      <c r="C54" s="53" t="s">
        <v>87</v>
      </c>
      <c r="D54" s="106">
        <v>10</v>
      </c>
      <c r="E54" s="169">
        <v>65.78</v>
      </c>
      <c r="F54" s="62">
        <f t="shared" si="3"/>
        <v>657.8</v>
      </c>
      <c r="G54" s="61"/>
      <c r="H54" s="61"/>
      <c r="I54" s="32"/>
      <c r="J54" s="61"/>
      <c r="K54" s="8"/>
    </row>
    <row r="55" spans="1:11">
      <c r="A55" s="49" t="s">
        <v>492</v>
      </c>
      <c r="B55" s="35" t="s">
        <v>62</v>
      </c>
      <c r="C55" s="53" t="s">
        <v>87</v>
      </c>
      <c r="D55" s="106">
        <v>5</v>
      </c>
      <c r="E55" s="169">
        <v>38.340000000000003</v>
      </c>
      <c r="F55" s="62">
        <f t="shared" si="3"/>
        <v>191.70000000000002</v>
      </c>
      <c r="G55" s="61"/>
      <c r="H55" s="61"/>
      <c r="I55" s="32"/>
      <c r="J55" s="61"/>
      <c r="K55" s="8"/>
    </row>
    <row r="56" spans="1:11" ht="14.25">
      <c r="A56" s="97" t="s">
        <v>469</v>
      </c>
      <c r="B56" s="88" t="s">
        <v>351</v>
      </c>
      <c r="C56" s="104" t="s">
        <v>88</v>
      </c>
      <c r="D56" s="112">
        <v>220</v>
      </c>
      <c r="E56" s="306">
        <v>1.343</v>
      </c>
      <c r="F56" s="99">
        <f t="shared" si="3"/>
        <v>295.45999999999998</v>
      </c>
      <c r="G56" s="67"/>
      <c r="H56" s="61"/>
      <c r="I56" s="32"/>
      <c r="J56" s="61"/>
      <c r="K56" s="8"/>
    </row>
    <row r="57" spans="1:11" ht="14.25">
      <c r="A57" s="65" t="s">
        <v>374</v>
      </c>
      <c r="B57" s="32"/>
      <c r="C57" s="32"/>
      <c r="D57" s="32"/>
      <c r="E57" s="32"/>
      <c r="F57" s="307">
        <f>SUM(F9:F56)</f>
        <v>14507.991031679998</v>
      </c>
      <c r="G57" s="61"/>
      <c r="H57" s="171"/>
      <c r="I57" s="32"/>
      <c r="J57" s="305"/>
      <c r="K57" s="8"/>
    </row>
    <row r="58" spans="1:11" ht="14.25">
      <c r="A58" s="113" t="s">
        <v>375</v>
      </c>
      <c r="B58" s="74"/>
      <c r="C58" s="74"/>
      <c r="D58" s="74"/>
      <c r="E58" s="74"/>
      <c r="F58" s="308">
        <f>F57/12</f>
        <v>1208.9992526399999</v>
      </c>
      <c r="G58" s="45"/>
      <c r="H58" s="171"/>
      <c r="I58" s="32"/>
      <c r="J58" s="305"/>
      <c r="K58" s="301"/>
    </row>
    <row r="59" spans="1:11">
      <c r="G59" s="45"/>
      <c r="H59" s="45"/>
      <c r="I59" s="32"/>
      <c r="J59" s="32"/>
      <c r="K59" s="8"/>
    </row>
  </sheetData>
  <mergeCells count="1">
    <mergeCell ref="A1:F1"/>
  </mergeCells>
  <phoneticPr fontId="29" type="noConversion"/>
  <pageMargins left="1.26" right="0.24" top="0.35" bottom="0.6" header="0.37" footer="0.5"/>
  <pageSetup paperSize="9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8"/>
  <sheetViews>
    <sheetView topLeftCell="A28" zoomScale="80" workbookViewId="0">
      <selection activeCell="F56" sqref="F56:F57"/>
    </sheetView>
  </sheetViews>
  <sheetFormatPr defaultRowHeight="12.75"/>
  <cols>
    <col min="1" max="1" width="6" style="24" customWidth="1"/>
    <col min="2" max="2" width="21.5703125" customWidth="1"/>
    <col min="3" max="3" width="7.85546875" customWidth="1"/>
    <col min="4" max="4" width="15.85546875" customWidth="1"/>
    <col min="5" max="5" width="12.28515625" customWidth="1"/>
    <col min="6" max="6" width="13.140625" bestFit="1" customWidth="1"/>
    <col min="7" max="7" width="7.85546875" customWidth="1"/>
    <col min="8" max="31" width="4.7109375" customWidth="1"/>
  </cols>
  <sheetData>
    <row r="1" spans="1:11" ht="15.75">
      <c r="A1" s="346" t="s">
        <v>418</v>
      </c>
      <c r="B1" s="346"/>
      <c r="C1" s="346"/>
      <c r="D1" s="346"/>
      <c r="E1" s="346"/>
      <c r="F1" s="346"/>
      <c r="J1" s="8"/>
      <c r="K1" s="8"/>
    </row>
    <row r="2" spans="1:11" ht="15.75">
      <c r="A2" s="346" t="s">
        <v>419</v>
      </c>
      <c r="B2" s="346"/>
      <c r="C2" s="346"/>
      <c r="D2" s="346"/>
      <c r="E2" s="346"/>
      <c r="F2" s="346"/>
      <c r="J2" s="8"/>
      <c r="K2" s="8"/>
    </row>
    <row r="3" spans="1:11" ht="15.75">
      <c r="A3" s="100"/>
      <c r="B3" s="73"/>
      <c r="C3" s="101"/>
      <c r="D3" s="101"/>
      <c r="E3" s="101"/>
      <c r="F3" s="86"/>
      <c r="J3" s="8"/>
      <c r="K3" s="8"/>
    </row>
    <row r="4" spans="1:11">
      <c r="A4" s="80" t="s">
        <v>42</v>
      </c>
      <c r="B4" s="224" t="s">
        <v>99</v>
      </c>
      <c r="C4" s="81" t="s">
        <v>92</v>
      </c>
      <c r="D4" s="82" t="s">
        <v>97</v>
      </c>
      <c r="E4" s="82" t="s">
        <v>94</v>
      </c>
      <c r="F4" s="81" t="s">
        <v>107</v>
      </c>
      <c r="J4" s="8"/>
      <c r="K4" s="8"/>
    </row>
    <row r="5" spans="1:11">
      <c r="A5" s="222" t="s">
        <v>373</v>
      </c>
      <c r="B5" s="83" t="s">
        <v>304</v>
      </c>
      <c r="C5" s="79" t="s">
        <v>81</v>
      </c>
      <c r="D5" s="243" t="s">
        <v>628</v>
      </c>
      <c r="E5" s="243" t="s">
        <v>95</v>
      </c>
      <c r="F5" s="79" t="s">
        <v>105</v>
      </c>
      <c r="J5" s="8"/>
      <c r="K5" s="8"/>
    </row>
    <row r="6" spans="1:11" ht="13.5" customHeight="1">
      <c r="A6" s="225"/>
      <c r="B6" s="227"/>
      <c r="C6" s="79"/>
      <c r="D6" s="243" t="s">
        <v>629</v>
      </c>
      <c r="E6" s="79" t="s">
        <v>632</v>
      </c>
      <c r="F6" s="79"/>
      <c r="J6" s="8"/>
      <c r="K6" s="8"/>
    </row>
    <row r="7" spans="1:11" ht="11.25" customHeight="1">
      <c r="A7" s="225"/>
      <c r="B7" s="248"/>
      <c r="C7" s="243"/>
      <c r="D7" s="79"/>
      <c r="E7" s="79" t="s">
        <v>669</v>
      </c>
      <c r="F7" s="79"/>
      <c r="J7" s="8"/>
      <c r="K7" s="8"/>
    </row>
    <row r="8" spans="1:11" ht="9" customHeight="1">
      <c r="A8" s="225"/>
      <c r="B8" s="226"/>
      <c r="C8" s="243"/>
      <c r="D8" s="243"/>
      <c r="E8" s="243"/>
      <c r="F8" s="79"/>
      <c r="J8" s="8"/>
      <c r="K8" s="8"/>
    </row>
    <row r="9" spans="1:11">
      <c r="A9" s="229"/>
      <c r="B9" s="277"/>
      <c r="C9" s="278"/>
      <c r="D9" s="278"/>
      <c r="E9" s="278" t="s">
        <v>657</v>
      </c>
      <c r="F9" s="123" t="s">
        <v>657</v>
      </c>
      <c r="J9" s="8"/>
      <c r="K9" s="8"/>
    </row>
    <row r="10" spans="1:11">
      <c r="A10" s="80"/>
      <c r="B10" s="82"/>
      <c r="C10" s="82"/>
      <c r="D10" s="115"/>
      <c r="E10" s="82"/>
      <c r="F10" s="81"/>
      <c r="J10" s="8"/>
      <c r="K10" s="8"/>
    </row>
    <row r="11" spans="1:11" ht="14.25">
      <c r="A11" s="57">
        <v>1</v>
      </c>
      <c r="B11" s="68" t="s">
        <v>315</v>
      </c>
      <c r="C11" s="53"/>
      <c r="D11" s="48"/>
      <c r="E11" s="53"/>
      <c r="F11" s="48"/>
      <c r="J11" s="8"/>
      <c r="K11" s="8"/>
    </row>
    <row r="12" spans="1:11">
      <c r="A12" s="49" t="s">
        <v>424</v>
      </c>
      <c r="B12" s="35" t="s">
        <v>119</v>
      </c>
      <c r="C12" s="53" t="s">
        <v>87</v>
      </c>
      <c r="D12" s="48">
        <v>0.3</v>
      </c>
      <c r="E12" s="169">
        <v>10.01</v>
      </c>
      <c r="F12" s="62">
        <f t="shared" ref="F12:F24" si="0">E12*D12</f>
        <v>3.0029999999999997</v>
      </c>
      <c r="J12" s="8"/>
      <c r="K12" s="8"/>
    </row>
    <row r="13" spans="1:11">
      <c r="A13" s="49" t="s">
        <v>425</v>
      </c>
      <c r="B13" s="35" t="s">
        <v>120</v>
      </c>
      <c r="C13" s="53" t="s">
        <v>87</v>
      </c>
      <c r="D13" s="48">
        <v>8.8000000000000007</v>
      </c>
      <c r="E13" s="169">
        <v>9.1300000000000008</v>
      </c>
      <c r="F13" s="62">
        <f t="shared" si="0"/>
        <v>80.344000000000008</v>
      </c>
      <c r="J13" s="8"/>
      <c r="K13" s="8"/>
    </row>
    <row r="14" spans="1:11">
      <c r="A14" s="49" t="s">
        <v>426</v>
      </c>
      <c r="B14" s="35" t="s">
        <v>49</v>
      </c>
      <c r="C14" s="53" t="s">
        <v>87</v>
      </c>
      <c r="D14" s="66">
        <v>38</v>
      </c>
      <c r="E14" s="169">
        <v>11.67</v>
      </c>
      <c r="F14" s="62">
        <f t="shared" si="0"/>
        <v>443.46</v>
      </c>
      <c r="G14" s="26"/>
      <c r="J14" s="8"/>
      <c r="K14" s="8"/>
    </row>
    <row r="15" spans="1:11">
      <c r="A15" s="49" t="s">
        <v>427</v>
      </c>
      <c r="B15" s="35" t="s">
        <v>48</v>
      </c>
      <c r="C15" s="53" t="s">
        <v>87</v>
      </c>
      <c r="D15" s="66">
        <v>62</v>
      </c>
      <c r="E15" s="169">
        <v>12.48</v>
      </c>
      <c r="F15" s="62">
        <f t="shared" si="0"/>
        <v>773.76</v>
      </c>
      <c r="J15" s="8"/>
      <c r="K15" s="8"/>
    </row>
    <row r="16" spans="1:11">
      <c r="A16" s="49" t="s">
        <v>428</v>
      </c>
      <c r="B16" s="35" t="s">
        <v>50</v>
      </c>
      <c r="C16" s="53" t="s">
        <v>87</v>
      </c>
      <c r="D16" s="48">
        <v>4.0999999999999996</v>
      </c>
      <c r="E16" s="169">
        <v>15.57</v>
      </c>
      <c r="F16" s="62">
        <f t="shared" si="0"/>
        <v>63.836999999999996</v>
      </c>
      <c r="J16" s="8"/>
      <c r="K16" s="8"/>
    </row>
    <row r="17" spans="1:11">
      <c r="A17" s="49" t="s">
        <v>429</v>
      </c>
      <c r="B17" s="35" t="s">
        <v>47</v>
      </c>
      <c r="C17" s="53" t="s">
        <v>87</v>
      </c>
      <c r="D17" s="48">
        <v>2.2999999999999998</v>
      </c>
      <c r="E17" s="169">
        <v>21.99</v>
      </c>
      <c r="F17" s="62">
        <f t="shared" si="0"/>
        <v>50.576999999999991</v>
      </c>
      <c r="J17" s="8"/>
      <c r="K17" s="8"/>
    </row>
    <row r="18" spans="1:11">
      <c r="A18" s="49" t="s">
        <v>430</v>
      </c>
      <c r="B18" s="35" t="s">
        <v>121</v>
      </c>
      <c r="C18" s="53" t="s">
        <v>87</v>
      </c>
      <c r="D18" s="48">
        <v>0.9</v>
      </c>
      <c r="E18" s="169">
        <v>10.64</v>
      </c>
      <c r="F18" s="62">
        <f t="shared" si="0"/>
        <v>9.5760000000000005</v>
      </c>
      <c r="J18" s="8"/>
      <c r="K18" s="8"/>
    </row>
    <row r="19" spans="1:11">
      <c r="A19" s="49" t="s">
        <v>431</v>
      </c>
      <c r="B19" s="35" t="s">
        <v>122</v>
      </c>
      <c r="C19" s="53" t="s">
        <v>87</v>
      </c>
      <c r="D19" s="48">
        <v>0.9</v>
      </c>
      <c r="E19" s="169">
        <v>11.19</v>
      </c>
      <c r="F19" s="62">
        <f t="shared" si="0"/>
        <v>10.071</v>
      </c>
      <c r="J19" s="8"/>
      <c r="K19" s="8"/>
    </row>
    <row r="20" spans="1:11">
      <c r="A20" s="49" t="s">
        <v>432</v>
      </c>
      <c r="B20" s="35" t="s">
        <v>123</v>
      </c>
      <c r="C20" s="53" t="s">
        <v>87</v>
      </c>
      <c r="D20" s="66">
        <v>2</v>
      </c>
      <c r="E20" s="169">
        <v>38.39</v>
      </c>
      <c r="F20" s="62">
        <f t="shared" si="0"/>
        <v>76.78</v>
      </c>
      <c r="J20" s="8"/>
      <c r="K20" s="8"/>
    </row>
    <row r="21" spans="1:11">
      <c r="A21" s="49" t="s">
        <v>433</v>
      </c>
      <c r="B21" s="35" t="s">
        <v>124</v>
      </c>
      <c r="C21" s="53" t="s">
        <v>87</v>
      </c>
      <c r="D21" s="48">
        <v>1.1000000000000001</v>
      </c>
      <c r="E21" s="169">
        <v>22.73</v>
      </c>
      <c r="F21" s="62">
        <f t="shared" si="0"/>
        <v>25.003000000000004</v>
      </c>
      <c r="J21" s="8"/>
      <c r="K21" s="8"/>
    </row>
    <row r="22" spans="1:11">
      <c r="A22" s="49" t="s">
        <v>434</v>
      </c>
      <c r="B22" s="35" t="s">
        <v>46</v>
      </c>
      <c r="C22" s="53" t="s">
        <v>87</v>
      </c>
      <c r="D22" s="48">
        <v>1.9</v>
      </c>
      <c r="E22" s="169">
        <v>14.77</v>
      </c>
      <c r="F22" s="62">
        <f t="shared" si="0"/>
        <v>28.062999999999999</v>
      </c>
      <c r="J22" s="8"/>
      <c r="K22" s="8"/>
    </row>
    <row r="23" spans="1:11">
      <c r="A23" s="49" t="s">
        <v>493</v>
      </c>
      <c r="B23" s="54" t="s">
        <v>53</v>
      </c>
      <c r="C23" s="53" t="s">
        <v>87</v>
      </c>
      <c r="D23" s="48">
        <v>0.6</v>
      </c>
      <c r="E23" s="169">
        <v>8.77</v>
      </c>
      <c r="F23" s="136">
        <f t="shared" si="0"/>
        <v>5.2619999999999996</v>
      </c>
      <c r="J23" s="8"/>
      <c r="K23" s="8"/>
    </row>
    <row r="24" spans="1:11" ht="14.25">
      <c r="A24" s="57" t="s">
        <v>435</v>
      </c>
      <c r="B24" s="68" t="s">
        <v>43</v>
      </c>
      <c r="C24" s="53" t="s">
        <v>87</v>
      </c>
      <c r="D24" s="66">
        <v>108</v>
      </c>
      <c r="E24" s="169">
        <v>5.79</v>
      </c>
      <c r="F24" s="62">
        <f t="shared" si="0"/>
        <v>625.32000000000005</v>
      </c>
      <c r="J24" s="8"/>
      <c r="K24" s="8"/>
    </row>
    <row r="25" spans="1:11" ht="14.25">
      <c r="A25" s="57" t="s">
        <v>436</v>
      </c>
      <c r="B25" s="68" t="s">
        <v>561</v>
      </c>
      <c r="C25" s="53"/>
      <c r="D25" s="48"/>
      <c r="E25" s="169"/>
      <c r="F25" s="48"/>
      <c r="J25" s="8"/>
      <c r="K25" s="8"/>
    </row>
    <row r="26" spans="1:11">
      <c r="A26" s="49" t="s">
        <v>478</v>
      </c>
      <c r="B26" s="35" t="s">
        <v>52</v>
      </c>
      <c r="C26" s="53" t="s">
        <v>87</v>
      </c>
      <c r="D26" s="48">
        <v>27.5</v>
      </c>
      <c r="E26" s="335">
        <v>8.32</v>
      </c>
      <c r="F26" s="62">
        <f t="shared" ref="F26:F31" si="1">E26*D26</f>
        <v>228.8</v>
      </c>
      <c r="J26" s="8"/>
      <c r="K26" s="8"/>
    </row>
    <row r="27" spans="1:11">
      <c r="A27" s="49" t="s">
        <v>479</v>
      </c>
      <c r="B27" s="35" t="s">
        <v>562</v>
      </c>
      <c r="C27" s="53" t="s">
        <v>87</v>
      </c>
      <c r="D27" s="66">
        <v>22</v>
      </c>
      <c r="E27" s="335">
        <v>29.07</v>
      </c>
      <c r="F27" s="136">
        <f t="shared" si="1"/>
        <v>639.54</v>
      </c>
      <c r="J27" s="8"/>
      <c r="K27" s="8"/>
    </row>
    <row r="28" spans="1:11">
      <c r="A28" s="49" t="s">
        <v>480</v>
      </c>
      <c r="B28" s="35" t="s">
        <v>563</v>
      </c>
      <c r="C28" s="53" t="s">
        <v>87</v>
      </c>
      <c r="D28" s="66">
        <v>16</v>
      </c>
      <c r="E28" s="335">
        <f>(13.58+10.57)/2</f>
        <v>12.074999999999999</v>
      </c>
      <c r="F28" s="136">
        <f t="shared" si="1"/>
        <v>193.2</v>
      </c>
      <c r="J28" s="8"/>
      <c r="K28" s="8"/>
    </row>
    <row r="29" spans="1:11">
      <c r="A29" s="49" t="s">
        <v>481</v>
      </c>
      <c r="B29" s="35" t="s">
        <v>125</v>
      </c>
      <c r="C29" s="53" t="s">
        <v>87</v>
      </c>
      <c r="D29" s="66">
        <v>8</v>
      </c>
      <c r="E29" s="335">
        <f>8.6*0.962+109.62*0.038</f>
        <v>12.438759999999998</v>
      </c>
      <c r="F29" s="136">
        <f t="shared" si="1"/>
        <v>99.510079999999988</v>
      </c>
      <c r="J29" s="8"/>
      <c r="K29" s="8"/>
    </row>
    <row r="30" spans="1:11">
      <c r="A30" s="49" t="s">
        <v>482</v>
      </c>
      <c r="B30" s="35" t="s">
        <v>51</v>
      </c>
      <c r="C30" s="53" t="s">
        <v>87</v>
      </c>
      <c r="D30" s="98">
        <v>14.5</v>
      </c>
      <c r="E30" s="335">
        <v>11.48</v>
      </c>
      <c r="F30" s="62">
        <f t="shared" si="1"/>
        <v>166.46</v>
      </c>
      <c r="J30" s="8"/>
      <c r="K30" s="8"/>
    </row>
    <row r="31" spans="1:11">
      <c r="A31" s="49" t="s">
        <v>483</v>
      </c>
      <c r="B31" s="35" t="s">
        <v>53</v>
      </c>
      <c r="C31" s="53" t="s">
        <v>87</v>
      </c>
      <c r="D31" s="66">
        <v>10</v>
      </c>
      <c r="E31" s="335">
        <f>E26*0.156+E27*0.473+E28*0.132+E29*0.186+E30*0.053</f>
        <v>19.563979360000001</v>
      </c>
      <c r="F31" s="136">
        <f t="shared" si="1"/>
        <v>195.63979360000002</v>
      </c>
      <c r="J31" s="8"/>
      <c r="K31" s="8"/>
    </row>
    <row r="32" spans="1:11" ht="14.25">
      <c r="A32" s="57" t="s">
        <v>437</v>
      </c>
      <c r="B32" s="68" t="s">
        <v>66</v>
      </c>
      <c r="C32" s="53"/>
      <c r="D32" s="48"/>
      <c r="E32" s="169"/>
      <c r="F32" s="62"/>
      <c r="J32" s="8"/>
      <c r="K32" s="8"/>
    </row>
    <row r="33" spans="1:11">
      <c r="A33" s="49" t="s">
        <v>438</v>
      </c>
      <c r="B33" s="35" t="s">
        <v>564</v>
      </c>
      <c r="C33" s="53" t="s">
        <v>87</v>
      </c>
      <c r="D33" s="66">
        <v>31</v>
      </c>
      <c r="E33" s="169">
        <v>12.91</v>
      </c>
      <c r="F33" s="136">
        <f>E33*D33</f>
        <v>400.21</v>
      </c>
      <c r="J33" s="8"/>
      <c r="K33" s="8"/>
    </row>
    <row r="34" spans="1:11">
      <c r="A34" s="49" t="s">
        <v>439</v>
      </c>
      <c r="B34" s="35" t="s">
        <v>54</v>
      </c>
      <c r="C34" s="53" t="s">
        <v>87</v>
      </c>
      <c r="D34" s="98">
        <v>1.8</v>
      </c>
      <c r="E34" s="169">
        <v>111.71</v>
      </c>
      <c r="F34" s="62">
        <f>E34*D34</f>
        <v>201.078</v>
      </c>
      <c r="J34" s="8"/>
      <c r="K34" s="8"/>
    </row>
    <row r="35" spans="1:11" ht="14.25">
      <c r="A35" s="57" t="s">
        <v>445</v>
      </c>
      <c r="B35" s="68" t="s">
        <v>350</v>
      </c>
      <c r="C35" s="297" t="s">
        <v>87</v>
      </c>
      <c r="D35" s="48">
        <v>22.5</v>
      </c>
      <c r="E35" s="169">
        <f>17.59*0.544+40.88*0.362+50.56*0.094</f>
        <v>29.120159999999998</v>
      </c>
      <c r="F35" s="136">
        <f>E35*D35</f>
        <v>655.20359999999994</v>
      </c>
      <c r="J35" s="8"/>
      <c r="K35" s="8"/>
    </row>
    <row r="36" spans="1:11" ht="14.25">
      <c r="A36" s="57" t="s">
        <v>452</v>
      </c>
      <c r="B36" s="68" t="s">
        <v>68</v>
      </c>
      <c r="C36" s="53" t="s">
        <v>87</v>
      </c>
      <c r="D36" s="48">
        <v>6.7</v>
      </c>
      <c r="E36" s="169">
        <v>31.89</v>
      </c>
      <c r="F36" s="62">
        <f>E36*D36</f>
        <v>213.66300000000001</v>
      </c>
      <c r="J36" s="8"/>
      <c r="K36" s="8"/>
    </row>
    <row r="37" spans="1:11" ht="14.25">
      <c r="A37" s="57" t="s">
        <v>453</v>
      </c>
      <c r="B37" s="68" t="s">
        <v>67</v>
      </c>
      <c r="C37" s="53" t="s">
        <v>87</v>
      </c>
      <c r="D37" s="48">
        <v>1.5</v>
      </c>
      <c r="E37" s="169">
        <v>43.7</v>
      </c>
      <c r="F37" s="62">
        <f>E37*D37</f>
        <v>65.550000000000011</v>
      </c>
      <c r="J37" s="8"/>
      <c r="K37" s="8"/>
    </row>
    <row r="38" spans="1:11" ht="14.25">
      <c r="A38" s="57" t="s">
        <v>458</v>
      </c>
      <c r="B38" s="68" t="s">
        <v>45</v>
      </c>
      <c r="C38" s="53"/>
      <c r="D38" s="48"/>
      <c r="E38" s="169"/>
      <c r="F38" s="48"/>
      <c r="J38" s="8"/>
      <c r="K38" s="8"/>
    </row>
    <row r="39" spans="1:11">
      <c r="A39" s="49" t="s">
        <v>459</v>
      </c>
      <c r="B39" s="35" t="s">
        <v>55</v>
      </c>
      <c r="C39" s="53" t="s">
        <v>87</v>
      </c>
      <c r="D39" s="66">
        <v>12</v>
      </c>
      <c r="E39" s="169">
        <v>82.87</v>
      </c>
      <c r="F39" s="62">
        <f t="shared" ref="F39:F45" si="2">E39*D39</f>
        <v>994.44</v>
      </c>
      <c r="J39" s="301"/>
      <c r="K39" s="8"/>
    </row>
    <row r="40" spans="1:11">
      <c r="A40" s="49" t="s">
        <v>460</v>
      </c>
      <c r="B40" s="35" t="s">
        <v>57</v>
      </c>
      <c r="C40" s="53" t="s">
        <v>87</v>
      </c>
      <c r="D40" s="98">
        <v>0.9</v>
      </c>
      <c r="E40" s="169">
        <v>75.38</v>
      </c>
      <c r="F40" s="62">
        <f t="shared" si="2"/>
        <v>67.841999999999999</v>
      </c>
      <c r="J40" s="8"/>
      <c r="K40" s="8"/>
    </row>
    <row r="41" spans="1:11">
      <c r="A41" s="49" t="s">
        <v>461</v>
      </c>
      <c r="B41" s="35" t="s">
        <v>56</v>
      </c>
      <c r="C41" s="53" t="s">
        <v>87</v>
      </c>
      <c r="D41" s="98">
        <v>9.5</v>
      </c>
      <c r="E41" s="169">
        <v>73.83</v>
      </c>
      <c r="F41" s="62">
        <f t="shared" si="2"/>
        <v>701.38499999999999</v>
      </c>
      <c r="J41" s="8"/>
      <c r="K41" s="8"/>
    </row>
    <row r="42" spans="1:11">
      <c r="A42" s="49" t="s">
        <v>462</v>
      </c>
      <c r="B42" s="35" t="s">
        <v>126</v>
      </c>
      <c r="C42" s="53" t="s">
        <v>87</v>
      </c>
      <c r="D42" s="66">
        <v>2</v>
      </c>
      <c r="E42" s="62">
        <f>77.69*0.204+42.6*0.326+45.52*0.47</f>
        <v>51.130759999999995</v>
      </c>
      <c r="F42" s="136">
        <f t="shared" si="2"/>
        <v>102.26151999999999</v>
      </c>
      <c r="J42" s="8"/>
      <c r="K42" s="8"/>
    </row>
    <row r="43" spans="1:11">
      <c r="A43" s="49" t="s">
        <v>463</v>
      </c>
      <c r="B43" s="35" t="s">
        <v>222</v>
      </c>
      <c r="C43" s="53" t="s">
        <v>87</v>
      </c>
      <c r="D43" s="66">
        <v>5</v>
      </c>
      <c r="E43" s="169">
        <v>39.79</v>
      </c>
      <c r="F43" s="62">
        <f t="shared" si="2"/>
        <v>198.95</v>
      </c>
      <c r="J43" s="8"/>
      <c r="K43" s="8"/>
    </row>
    <row r="44" spans="1:11">
      <c r="A44" s="49" t="s">
        <v>464</v>
      </c>
      <c r="B44" s="35" t="s">
        <v>58</v>
      </c>
      <c r="C44" s="53" t="s">
        <v>87</v>
      </c>
      <c r="D44" s="66">
        <v>2</v>
      </c>
      <c r="E44" s="169">
        <v>41.93</v>
      </c>
      <c r="F44" s="62">
        <f t="shared" si="2"/>
        <v>83.86</v>
      </c>
      <c r="J44" s="8"/>
      <c r="K44" s="8"/>
    </row>
    <row r="45" spans="1:11">
      <c r="A45" s="49" t="s">
        <v>484</v>
      </c>
      <c r="B45" s="35" t="s">
        <v>220</v>
      </c>
      <c r="C45" s="53" t="s">
        <v>87</v>
      </c>
      <c r="D45" s="98">
        <v>6.6</v>
      </c>
      <c r="E45" s="169">
        <f>77.8*0.339+73.76*0.359+108.71*0.302</f>
        <v>85.684460000000001</v>
      </c>
      <c r="F45" s="136">
        <f t="shared" si="2"/>
        <v>565.51743599999998</v>
      </c>
      <c r="J45" s="8"/>
      <c r="K45" s="8"/>
    </row>
    <row r="46" spans="1:11" ht="14.25">
      <c r="A46" s="57" t="s">
        <v>465</v>
      </c>
      <c r="B46" s="68" t="s">
        <v>223</v>
      </c>
      <c r="C46" s="53"/>
      <c r="D46" s="48"/>
      <c r="E46" s="169"/>
      <c r="F46" s="62"/>
      <c r="J46" s="8"/>
      <c r="K46" s="8"/>
    </row>
    <row r="47" spans="1:11">
      <c r="A47" s="49" t="s">
        <v>486</v>
      </c>
      <c r="B47" s="35" t="s">
        <v>64</v>
      </c>
      <c r="C47" s="53" t="s">
        <v>87</v>
      </c>
      <c r="D47" s="48">
        <v>2.5</v>
      </c>
      <c r="E47" s="169">
        <v>43.51</v>
      </c>
      <c r="F47" s="62">
        <f>E47*D47</f>
        <v>108.77499999999999</v>
      </c>
      <c r="J47" s="8"/>
      <c r="K47" s="8"/>
    </row>
    <row r="48" spans="1:11">
      <c r="A48" s="49" t="s">
        <v>487</v>
      </c>
      <c r="B48" s="35" t="s">
        <v>65</v>
      </c>
      <c r="C48" s="53" t="s">
        <v>87</v>
      </c>
      <c r="D48" s="48">
        <v>0.7</v>
      </c>
      <c r="E48" s="169">
        <v>59.18</v>
      </c>
      <c r="F48" s="62">
        <f>E48*D48</f>
        <v>41.425999999999995</v>
      </c>
      <c r="J48" s="8"/>
      <c r="K48" s="8"/>
    </row>
    <row r="49" spans="1:11" ht="14.25">
      <c r="A49" s="57" t="s">
        <v>466</v>
      </c>
      <c r="B49" s="68" t="s">
        <v>221</v>
      </c>
      <c r="C49" s="53"/>
      <c r="D49" s="48"/>
      <c r="E49" s="169"/>
      <c r="F49" s="48"/>
      <c r="J49" s="8"/>
      <c r="K49" s="8"/>
    </row>
    <row r="50" spans="1:11">
      <c r="A50" s="49" t="s">
        <v>467</v>
      </c>
      <c r="B50" s="35" t="s">
        <v>59</v>
      </c>
      <c r="C50" s="53" t="s">
        <v>87</v>
      </c>
      <c r="D50" s="66">
        <v>83</v>
      </c>
      <c r="E50" s="335">
        <v>13.48</v>
      </c>
      <c r="F50" s="62">
        <f t="shared" ref="F50:F55" si="3">E50*D50</f>
        <v>1118.8400000000001</v>
      </c>
      <c r="J50" s="8"/>
      <c r="K50" s="8"/>
    </row>
    <row r="51" spans="1:11">
      <c r="A51" s="49" t="s">
        <v>468</v>
      </c>
      <c r="B51" s="35" t="s">
        <v>224</v>
      </c>
      <c r="C51" s="53" t="s">
        <v>87</v>
      </c>
      <c r="D51" s="66">
        <v>22</v>
      </c>
      <c r="E51" s="335">
        <f>13.48*0.012+16.9*0.988</f>
        <v>16.85896</v>
      </c>
      <c r="F51" s="62">
        <f t="shared" si="3"/>
        <v>370.89711999999997</v>
      </c>
      <c r="J51" s="8"/>
      <c r="K51" s="8"/>
    </row>
    <row r="52" spans="1:11">
      <c r="A52" s="49" t="s">
        <v>489</v>
      </c>
      <c r="B52" s="35" t="s">
        <v>60</v>
      </c>
      <c r="C52" s="53" t="s">
        <v>87</v>
      </c>
      <c r="D52" s="48">
        <v>3.9</v>
      </c>
      <c r="E52" s="169">
        <v>117.69999999999999</v>
      </c>
      <c r="F52" s="62">
        <f t="shared" si="3"/>
        <v>459.03</v>
      </c>
      <c r="J52" s="8"/>
      <c r="K52" s="8"/>
    </row>
    <row r="53" spans="1:11">
      <c r="A53" s="49" t="s">
        <v>490</v>
      </c>
      <c r="B53" s="35" t="s">
        <v>321</v>
      </c>
      <c r="C53" s="53" t="s">
        <v>87</v>
      </c>
      <c r="D53" s="48">
        <v>7.6</v>
      </c>
      <c r="E53" s="169">
        <v>65.78</v>
      </c>
      <c r="F53" s="62">
        <f t="shared" si="3"/>
        <v>499.928</v>
      </c>
      <c r="J53" s="8"/>
      <c r="K53" s="8"/>
    </row>
    <row r="54" spans="1:11">
      <c r="A54" s="49" t="s">
        <v>491</v>
      </c>
      <c r="B54" s="35" t="s">
        <v>62</v>
      </c>
      <c r="C54" s="53" t="s">
        <v>87</v>
      </c>
      <c r="D54" s="66">
        <v>4</v>
      </c>
      <c r="E54" s="169">
        <v>38.340000000000003</v>
      </c>
      <c r="F54" s="62">
        <f t="shared" si="3"/>
        <v>153.36000000000001</v>
      </c>
      <c r="J54" s="8"/>
      <c r="K54" s="8"/>
    </row>
    <row r="55" spans="1:11" ht="14.25">
      <c r="A55" s="57" t="s">
        <v>469</v>
      </c>
      <c r="B55" s="68" t="s">
        <v>351</v>
      </c>
      <c r="C55" s="53" t="s">
        <v>88</v>
      </c>
      <c r="D55" s="105">
        <v>187.5</v>
      </c>
      <c r="E55" s="237">
        <v>1.343</v>
      </c>
      <c r="F55" s="62">
        <f t="shared" si="3"/>
        <v>251.8125</v>
      </c>
      <c r="J55" s="8"/>
      <c r="K55" s="8"/>
    </row>
    <row r="56" spans="1:11" ht="14.25">
      <c r="A56" s="116" t="s">
        <v>374</v>
      </c>
      <c r="B56" s="40"/>
      <c r="C56" s="40"/>
      <c r="D56" s="40"/>
      <c r="E56" s="40"/>
      <c r="F56" s="309">
        <f>SUM(F12:F55)</f>
        <v>10972.2350496</v>
      </c>
      <c r="J56" s="8"/>
      <c r="K56" s="8"/>
    </row>
    <row r="57" spans="1:11" ht="14.25">
      <c r="A57" s="97" t="s">
        <v>375</v>
      </c>
      <c r="B57" s="74"/>
      <c r="C57" s="74"/>
      <c r="D57" s="74"/>
      <c r="E57" s="74"/>
      <c r="F57" s="308">
        <f>F56/12</f>
        <v>914.35292079999999</v>
      </c>
      <c r="J57" s="301"/>
      <c r="K57" s="8"/>
    </row>
    <row r="58" spans="1:11">
      <c r="J58" s="8"/>
      <c r="K58" s="8"/>
    </row>
  </sheetData>
  <mergeCells count="2">
    <mergeCell ref="A1:F1"/>
    <mergeCell ref="A2:F2"/>
  </mergeCells>
  <phoneticPr fontId="29" type="noConversion"/>
  <pageMargins left="0.85" right="0.25" top="0.36" bottom="0.65" header="0.76" footer="0.72"/>
  <pageSetup paperSize="9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83"/>
  <sheetViews>
    <sheetView topLeftCell="D40" zoomScale="75" workbookViewId="0">
      <selection activeCell="F82" sqref="F82:F83"/>
    </sheetView>
  </sheetViews>
  <sheetFormatPr defaultRowHeight="12.75"/>
  <cols>
    <col min="1" max="1" width="5.85546875" style="24" customWidth="1"/>
    <col min="2" max="2" width="33.5703125" customWidth="1"/>
    <col min="3" max="3" width="12.42578125" style="9" customWidth="1"/>
    <col min="4" max="4" width="13.28515625" style="17" customWidth="1"/>
    <col min="5" max="5" width="12.140625" style="17" customWidth="1"/>
    <col min="6" max="6" width="16" style="17" customWidth="1"/>
    <col min="8" max="8" width="8" customWidth="1"/>
    <col min="9" max="9" width="7" customWidth="1"/>
    <col min="10" max="10" width="8" style="3" customWidth="1"/>
    <col min="11" max="11" width="10.42578125" style="3" customWidth="1"/>
    <col min="12" max="12" width="12" style="3" customWidth="1"/>
    <col min="13" max="13" width="12.140625" style="3" customWidth="1"/>
    <col min="14" max="15" width="10.140625" style="3" customWidth="1"/>
    <col min="16" max="16" width="6.140625" customWidth="1"/>
    <col min="17" max="17" width="27.5703125" customWidth="1"/>
    <col min="18" max="18" width="11.85546875" customWidth="1"/>
    <col min="19" max="19" width="11.28515625" customWidth="1"/>
    <col min="20" max="20" width="8.28515625" customWidth="1"/>
    <col min="21" max="21" width="8.7109375" customWidth="1"/>
    <col min="22" max="22" width="9" customWidth="1"/>
    <col min="23" max="23" width="8.42578125" customWidth="1"/>
    <col min="24" max="24" width="8.7109375" customWidth="1"/>
    <col min="25" max="26" width="10.42578125" customWidth="1"/>
    <col min="29" max="29" width="4.5703125" customWidth="1"/>
    <col min="30" max="30" width="32" customWidth="1"/>
    <col min="32" max="39" width="9.140625" style="3"/>
  </cols>
  <sheetData>
    <row r="1" spans="1:15" ht="15.75">
      <c r="A1" s="346" t="s">
        <v>209</v>
      </c>
      <c r="B1" s="346"/>
      <c r="C1" s="346"/>
      <c r="D1" s="346"/>
      <c r="E1" s="346"/>
      <c r="F1" s="346"/>
    </row>
    <row r="2" spans="1:15" ht="15.75">
      <c r="A2" s="346" t="s">
        <v>130</v>
      </c>
      <c r="B2" s="346"/>
      <c r="C2" s="346"/>
      <c r="D2" s="346"/>
      <c r="E2" s="346"/>
      <c r="F2" s="346"/>
    </row>
    <row r="3" spans="1:15" ht="14.25">
      <c r="A3" s="117"/>
      <c r="B3" s="68"/>
      <c r="C3" s="118"/>
      <c r="D3" s="118"/>
      <c r="E3" s="118"/>
      <c r="F3" s="118"/>
      <c r="O3" s="2"/>
    </row>
    <row r="4" spans="1:15">
      <c r="A4" s="119"/>
      <c r="B4" s="81" t="s">
        <v>102</v>
      </c>
      <c r="C4" s="120" t="s">
        <v>103</v>
      </c>
      <c r="D4" s="81" t="s">
        <v>104</v>
      </c>
      <c r="E4" s="81" t="s">
        <v>94</v>
      </c>
      <c r="F4" s="81" t="s">
        <v>106</v>
      </c>
      <c r="O4" s="10"/>
    </row>
    <row r="5" spans="1:15">
      <c r="A5" s="121" t="s">
        <v>8</v>
      </c>
      <c r="B5" s="79"/>
      <c r="C5" s="83" t="s">
        <v>81</v>
      </c>
      <c r="D5" s="79" t="s">
        <v>105</v>
      </c>
      <c r="E5" s="79" t="s">
        <v>95</v>
      </c>
      <c r="F5" s="79" t="s">
        <v>105</v>
      </c>
      <c r="O5" s="10"/>
    </row>
    <row r="6" spans="1:15">
      <c r="A6" s="121" t="s">
        <v>373</v>
      </c>
      <c r="B6" s="79"/>
      <c r="C6" s="83"/>
      <c r="D6" s="79"/>
      <c r="E6" s="79" t="s">
        <v>632</v>
      </c>
      <c r="F6" s="79"/>
      <c r="O6" s="10"/>
    </row>
    <row r="7" spans="1:15">
      <c r="A7" s="121"/>
      <c r="B7" s="79"/>
      <c r="C7" s="83"/>
      <c r="D7" s="79" t="s">
        <v>354</v>
      </c>
      <c r="E7" s="79" t="s">
        <v>669</v>
      </c>
      <c r="F7" s="79"/>
      <c r="O7" s="10"/>
    </row>
    <row r="8" spans="1:15">
      <c r="A8" s="122"/>
      <c r="B8" s="123"/>
      <c r="C8" s="124"/>
      <c r="D8" s="274">
        <v>2.59</v>
      </c>
      <c r="E8" s="278" t="s">
        <v>657</v>
      </c>
      <c r="F8" s="123" t="s">
        <v>657</v>
      </c>
      <c r="O8" s="10"/>
    </row>
    <row r="9" spans="1:15" s="3" customFormat="1">
      <c r="A9" s="80"/>
      <c r="B9" s="81"/>
      <c r="C9" s="120"/>
      <c r="D9" s="81"/>
      <c r="E9" s="81"/>
      <c r="F9" s="81"/>
      <c r="O9" s="2"/>
    </row>
    <row r="10" spans="1:15" ht="15">
      <c r="A10" s="57">
        <v>1</v>
      </c>
      <c r="B10" s="93" t="s">
        <v>79</v>
      </c>
      <c r="C10" s="125"/>
      <c r="D10" s="126"/>
      <c r="E10" s="94"/>
      <c r="F10" s="127">
        <f>F11+F12+F13+F14+F15+F16+F17+F18+F19</f>
        <v>379.45241312741314</v>
      </c>
      <c r="O10" s="13"/>
    </row>
    <row r="11" spans="1:15">
      <c r="A11" s="49" t="s">
        <v>424</v>
      </c>
      <c r="B11" s="54" t="s">
        <v>330</v>
      </c>
      <c r="C11" s="128" t="s">
        <v>88</v>
      </c>
      <c r="D11" s="129">
        <f>3/10/$D$8</f>
        <v>0.11583011583011583</v>
      </c>
      <c r="E11" s="62">
        <v>513.30999999999995</v>
      </c>
      <c r="F11" s="62">
        <f t="shared" ref="F11:F19" si="0">E11*D11</f>
        <v>59.456756756756754</v>
      </c>
      <c r="O11" s="2"/>
    </row>
    <row r="12" spans="1:15">
      <c r="A12" s="49" t="s">
        <v>425</v>
      </c>
      <c r="B12" s="54" t="s">
        <v>31</v>
      </c>
      <c r="C12" s="128" t="s">
        <v>88</v>
      </c>
      <c r="D12" s="129">
        <f>3/15/$D$8</f>
        <v>7.7220077220077232E-2</v>
      </c>
      <c r="E12" s="62">
        <v>140.94999999999999</v>
      </c>
      <c r="F12" s="62">
        <f t="shared" si="0"/>
        <v>10.884169884169886</v>
      </c>
      <c r="O12" s="2"/>
    </row>
    <row r="13" spans="1:15">
      <c r="A13" s="49" t="s">
        <v>426</v>
      </c>
      <c r="B13" s="54" t="s">
        <v>117</v>
      </c>
      <c r="C13" s="128" t="s">
        <v>88</v>
      </c>
      <c r="D13" s="129">
        <f>3/8/$D$8</f>
        <v>0.1447876447876448</v>
      </c>
      <c r="E13" s="62">
        <v>513.30999999999995</v>
      </c>
      <c r="F13" s="62">
        <f t="shared" si="0"/>
        <v>74.320945945945951</v>
      </c>
      <c r="O13" s="2"/>
    </row>
    <row r="14" spans="1:15">
      <c r="A14" s="49" t="s">
        <v>427</v>
      </c>
      <c r="B14" s="54" t="s">
        <v>566</v>
      </c>
      <c r="C14" s="128" t="s">
        <v>88</v>
      </c>
      <c r="D14" s="129">
        <f>6/5/$D$8</f>
        <v>0.46332046332046334</v>
      </c>
      <c r="E14" s="62">
        <v>209.05</v>
      </c>
      <c r="F14" s="62">
        <f t="shared" si="0"/>
        <v>96.857142857142861</v>
      </c>
      <c r="O14" s="2"/>
    </row>
    <row r="15" spans="1:15" ht="15">
      <c r="A15" s="49" t="s">
        <v>428</v>
      </c>
      <c r="B15" s="54" t="s">
        <v>380</v>
      </c>
      <c r="C15" s="128" t="s">
        <v>88</v>
      </c>
      <c r="D15" s="129">
        <f>6/4/$D$8</f>
        <v>0.57915057915057921</v>
      </c>
      <c r="E15" s="62">
        <v>121.49</v>
      </c>
      <c r="F15" s="62">
        <f t="shared" si="0"/>
        <v>70.361003861003866</v>
      </c>
      <c r="O15" s="11"/>
    </row>
    <row r="16" spans="1:15" ht="15">
      <c r="A16" s="49" t="s">
        <v>429</v>
      </c>
      <c r="B16" s="54" t="s">
        <v>32</v>
      </c>
      <c r="C16" s="128" t="s">
        <v>88</v>
      </c>
      <c r="D16" s="129">
        <f>6/4/$D$8</f>
        <v>0.57915057915057921</v>
      </c>
      <c r="E16" s="62">
        <v>47.87</v>
      </c>
      <c r="F16" s="62">
        <f t="shared" si="0"/>
        <v>27.723938223938227</v>
      </c>
      <c r="O16" s="11"/>
    </row>
    <row r="17" spans="1:15">
      <c r="A17" s="49" t="s">
        <v>430</v>
      </c>
      <c r="B17" s="54" t="s">
        <v>381</v>
      </c>
      <c r="C17" s="128" t="s">
        <v>88</v>
      </c>
      <c r="D17" s="129">
        <f>6/3/$D$8</f>
        <v>0.77220077220077221</v>
      </c>
      <c r="E17" s="62">
        <v>27.24</v>
      </c>
      <c r="F17" s="62">
        <f t="shared" si="0"/>
        <v>21.034749034749034</v>
      </c>
      <c r="O17" s="16"/>
    </row>
    <row r="18" spans="1:15" ht="15">
      <c r="A18" s="49" t="s">
        <v>431</v>
      </c>
      <c r="B18" s="54" t="s">
        <v>382</v>
      </c>
      <c r="C18" s="128" t="s">
        <v>88</v>
      </c>
      <c r="D18" s="129">
        <f>3/8/$D$8</f>
        <v>0.1447876447876448</v>
      </c>
      <c r="E18" s="62">
        <v>77.86</v>
      </c>
      <c r="F18" s="62">
        <f t="shared" si="0"/>
        <v>11.273166023166024</v>
      </c>
      <c r="O18" s="11"/>
    </row>
    <row r="19" spans="1:15">
      <c r="A19" s="49" t="s">
        <v>432</v>
      </c>
      <c r="B19" s="54" t="s">
        <v>567</v>
      </c>
      <c r="C19" s="128" t="s">
        <v>88</v>
      </c>
      <c r="D19" s="129">
        <f>3/1/$D$8</f>
        <v>1.1583011583011584</v>
      </c>
      <c r="E19" s="62">
        <v>6.51</v>
      </c>
      <c r="F19" s="62">
        <f t="shared" si="0"/>
        <v>7.5405405405405412</v>
      </c>
      <c r="O19" s="16"/>
    </row>
    <row r="20" spans="1:15">
      <c r="A20" s="95"/>
      <c r="B20" s="54"/>
      <c r="C20" s="130"/>
      <c r="D20" s="48"/>
      <c r="E20" s="62"/>
      <c r="F20" s="62"/>
      <c r="O20" s="16"/>
    </row>
    <row r="21" spans="1:15" ht="15">
      <c r="A21" s="57" t="s">
        <v>435</v>
      </c>
      <c r="B21" s="93" t="s">
        <v>35</v>
      </c>
      <c r="C21" s="125"/>
      <c r="D21" s="126"/>
      <c r="E21" s="62"/>
      <c r="F21" s="127">
        <f>F23+F24+F25+F26+F27+F28</f>
        <v>126.36363148863148</v>
      </c>
      <c r="O21" s="11"/>
    </row>
    <row r="22" spans="1:15">
      <c r="A22" s="49"/>
      <c r="B22" s="54"/>
      <c r="C22" s="128"/>
      <c r="D22" s="129"/>
      <c r="E22" s="62"/>
      <c r="F22" s="62"/>
      <c r="O22" s="16"/>
    </row>
    <row r="23" spans="1:15">
      <c r="A23" s="49" t="s">
        <v>494</v>
      </c>
      <c r="B23" s="54" t="s">
        <v>383</v>
      </c>
      <c r="C23" s="128" t="s">
        <v>88</v>
      </c>
      <c r="D23" s="129">
        <f>6/3/$D$8</f>
        <v>0.77220077220077221</v>
      </c>
      <c r="E23" s="62">
        <v>36.229999999999997</v>
      </c>
      <c r="F23" s="62">
        <f>E23*D23</f>
        <v>27.976833976833976</v>
      </c>
      <c r="O23" s="16"/>
    </row>
    <row r="24" spans="1:15">
      <c r="A24" s="49" t="s">
        <v>495</v>
      </c>
      <c r="B24" s="54" t="s">
        <v>640</v>
      </c>
      <c r="C24" s="128" t="s">
        <v>88</v>
      </c>
      <c r="D24" s="129">
        <f>4/9/$D$8</f>
        <v>0.1716001716001716</v>
      </c>
      <c r="E24" s="62">
        <v>287.44</v>
      </c>
      <c r="F24" s="62">
        <f>E24*D24</f>
        <v>49.324753324753324</v>
      </c>
      <c r="O24" s="16"/>
    </row>
    <row r="25" spans="1:15" ht="15">
      <c r="A25" s="49" t="s">
        <v>496</v>
      </c>
      <c r="B25" s="54" t="s">
        <v>384</v>
      </c>
      <c r="C25" s="128" t="s">
        <v>88</v>
      </c>
      <c r="D25" s="129">
        <f>2/9/$D$8</f>
        <v>8.5800085800085801E-2</v>
      </c>
      <c r="E25" s="62">
        <v>166.16</v>
      </c>
      <c r="F25" s="62">
        <f>E25*D25</f>
        <v>14.256542256542257</v>
      </c>
      <c r="O25" s="11"/>
    </row>
    <row r="26" spans="1:15">
      <c r="A26" s="49" t="s">
        <v>497</v>
      </c>
      <c r="B26" s="54" t="s">
        <v>36</v>
      </c>
      <c r="C26" s="128" t="s">
        <v>88</v>
      </c>
      <c r="D26" s="129">
        <f>1/8/$D$8</f>
        <v>4.8262548262548263E-2</v>
      </c>
      <c r="E26" s="62">
        <v>195.49</v>
      </c>
      <c r="F26" s="62">
        <f>E26*D26</f>
        <v>9.4348455598455612</v>
      </c>
      <c r="O26" s="16"/>
    </row>
    <row r="27" spans="1:15">
      <c r="A27" s="49" t="s">
        <v>498</v>
      </c>
      <c r="B27" s="54" t="s">
        <v>233</v>
      </c>
      <c r="C27" s="128" t="s">
        <v>88</v>
      </c>
      <c r="D27" s="129">
        <f>1/5/$D$8</f>
        <v>7.7220077220077232E-2</v>
      </c>
      <c r="E27" s="62">
        <v>225.35</v>
      </c>
      <c r="F27" s="62">
        <f>E27*D27</f>
        <v>17.401544401544403</v>
      </c>
      <c r="O27" s="16"/>
    </row>
    <row r="28" spans="1:15">
      <c r="A28" s="49" t="s">
        <v>499</v>
      </c>
      <c r="B28" s="54" t="s">
        <v>353</v>
      </c>
      <c r="C28" s="128"/>
      <c r="D28" s="129"/>
      <c r="E28" s="62"/>
      <c r="F28" s="62">
        <f>F29+F30+F31</f>
        <v>7.9691119691119692</v>
      </c>
      <c r="O28" s="16"/>
    </row>
    <row r="29" spans="1:15">
      <c r="A29" s="49"/>
      <c r="B29" s="54" t="s">
        <v>385</v>
      </c>
      <c r="C29" s="128" t="s">
        <v>88</v>
      </c>
      <c r="D29" s="129">
        <f>6/10/$D$8</f>
        <v>0.23166023166023167</v>
      </c>
      <c r="E29" s="62">
        <v>11.12</v>
      </c>
      <c r="F29" s="62">
        <f>E29*D29</f>
        <v>2.5760617760617759</v>
      </c>
      <c r="O29" s="16"/>
    </row>
    <row r="30" spans="1:15">
      <c r="A30" s="49"/>
      <c r="B30" s="54" t="s">
        <v>386</v>
      </c>
      <c r="C30" s="128" t="s">
        <v>88</v>
      </c>
      <c r="D30" s="129">
        <f>6/10/$D$8</f>
        <v>0.23166023166023167</v>
      </c>
      <c r="E30" s="62">
        <v>12.37</v>
      </c>
      <c r="F30" s="62">
        <f>E30*D30</f>
        <v>2.8656370656370656</v>
      </c>
      <c r="O30" s="16"/>
    </row>
    <row r="31" spans="1:15">
      <c r="A31" s="49"/>
      <c r="B31" s="54" t="s">
        <v>387</v>
      </c>
      <c r="C31" s="128" t="s">
        <v>88</v>
      </c>
      <c r="D31" s="129">
        <f>3/10/$D$8</f>
        <v>0.11583011583011583</v>
      </c>
      <c r="E31" s="62">
        <v>21.82</v>
      </c>
      <c r="F31" s="62">
        <f>E31*D31</f>
        <v>2.5274131274131277</v>
      </c>
      <c r="O31" s="16"/>
    </row>
    <row r="32" spans="1:15" ht="15">
      <c r="A32" s="49"/>
      <c r="B32" s="54"/>
      <c r="C32" s="128"/>
      <c r="D32" s="48"/>
      <c r="E32" s="62"/>
      <c r="F32" s="62"/>
      <c r="O32" s="11"/>
    </row>
    <row r="33" spans="1:15" ht="14.25">
      <c r="A33" s="57" t="s">
        <v>436</v>
      </c>
      <c r="B33" s="93" t="s">
        <v>37</v>
      </c>
      <c r="C33" s="125"/>
      <c r="D33" s="126"/>
      <c r="E33" s="62"/>
      <c r="F33" s="127">
        <f>F35+F36+F37+F38+F39+F40+F41+F42</f>
        <v>316.06732058589205</v>
      </c>
      <c r="O33" s="2"/>
    </row>
    <row r="34" spans="1:15">
      <c r="A34" s="49"/>
      <c r="B34" s="131"/>
      <c r="C34" s="125"/>
      <c r="D34" s="48"/>
      <c r="E34" s="62"/>
      <c r="F34" s="62"/>
      <c r="O34" s="2"/>
    </row>
    <row r="35" spans="1:15">
      <c r="A35" s="49" t="s">
        <v>478</v>
      </c>
      <c r="B35" s="54" t="s">
        <v>234</v>
      </c>
      <c r="C35" s="128" t="s">
        <v>88</v>
      </c>
      <c r="D35" s="129">
        <f>1/15/$D$8</f>
        <v>2.5740025740025742E-2</v>
      </c>
      <c r="E35" s="62">
        <v>4239.9799999999996</v>
      </c>
      <c r="F35" s="62">
        <f t="shared" ref="F35:F42" si="1">E35*D35</f>
        <v>109.13719433719433</v>
      </c>
      <c r="O35" s="2"/>
    </row>
    <row r="36" spans="1:15">
      <c r="A36" s="49" t="s">
        <v>479</v>
      </c>
      <c r="B36" s="54" t="s">
        <v>235</v>
      </c>
      <c r="C36" s="128" t="s">
        <v>88</v>
      </c>
      <c r="D36" s="129">
        <f>1/10/$D$8</f>
        <v>3.8610038610038616E-2</v>
      </c>
      <c r="E36" s="62">
        <v>2131.02</v>
      </c>
      <c r="F36" s="62">
        <f t="shared" si="1"/>
        <v>82.278764478764487</v>
      </c>
      <c r="O36" s="2"/>
    </row>
    <row r="37" spans="1:15">
      <c r="A37" s="49" t="s">
        <v>480</v>
      </c>
      <c r="B37" s="54" t="s">
        <v>236</v>
      </c>
      <c r="C37" s="128" t="s">
        <v>88</v>
      </c>
      <c r="D37" s="129">
        <f>1/14/$D$8</f>
        <v>2.7578599007170437E-2</v>
      </c>
      <c r="E37" s="62">
        <v>1472.43</v>
      </c>
      <c r="F37" s="62">
        <f t="shared" si="1"/>
        <v>40.607556536127966</v>
      </c>
      <c r="O37" s="2"/>
    </row>
    <row r="38" spans="1:15">
      <c r="A38" s="49" t="s">
        <v>481</v>
      </c>
      <c r="B38" s="54" t="s">
        <v>38</v>
      </c>
      <c r="C38" s="128" t="s">
        <v>88</v>
      </c>
      <c r="D38" s="129">
        <f>1/9/$D$8</f>
        <v>4.2900042900042901E-2</v>
      </c>
      <c r="E38" s="62">
        <v>842.69</v>
      </c>
      <c r="F38" s="62">
        <f t="shared" si="1"/>
        <v>36.151437151437158</v>
      </c>
      <c r="O38" s="2"/>
    </row>
    <row r="39" spans="1:15">
      <c r="A39" s="49" t="s">
        <v>482</v>
      </c>
      <c r="B39" s="54" t="s">
        <v>118</v>
      </c>
      <c r="C39" s="128" t="s">
        <v>88</v>
      </c>
      <c r="D39" s="129">
        <f>4/25/$D$8</f>
        <v>6.1776061776061778E-2</v>
      </c>
      <c r="E39" s="62">
        <v>207.61</v>
      </c>
      <c r="F39" s="62">
        <f t="shared" si="1"/>
        <v>12.825328185328187</v>
      </c>
    </row>
    <row r="40" spans="1:15">
      <c r="A40" s="49" t="s">
        <v>483</v>
      </c>
      <c r="B40" s="54" t="s">
        <v>237</v>
      </c>
      <c r="C40" s="128" t="s">
        <v>88</v>
      </c>
      <c r="D40" s="129">
        <f>1/25/$D$8</f>
        <v>1.5444015444015444E-2</v>
      </c>
      <c r="E40" s="62">
        <v>143.52000000000001</v>
      </c>
      <c r="F40" s="62">
        <f t="shared" si="1"/>
        <v>2.2165250965250967</v>
      </c>
    </row>
    <row r="41" spans="1:15">
      <c r="A41" s="49" t="s">
        <v>500</v>
      </c>
      <c r="B41" s="54" t="s">
        <v>388</v>
      </c>
      <c r="C41" s="128" t="s">
        <v>88</v>
      </c>
      <c r="D41" s="129">
        <f>2/12/$D$8</f>
        <v>6.4350064350064351E-2</v>
      </c>
      <c r="E41" s="62">
        <v>470.99</v>
      </c>
      <c r="F41" s="62">
        <f t="shared" si="1"/>
        <v>30.30823680823681</v>
      </c>
    </row>
    <row r="42" spans="1:15">
      <c r="A42" s="49" t="s">
        <v>501</v>
      </c>
      <c r="B42" s="54" t="s">
        <v>522</v>
      </c>
      <c r="C42" s="128" t="s">
        <v>88</v>
      </c>
      <c r="D42" s="129">
        <f>1/20/$D$8</f>
        <v>1.9305019305019308E-2</v>
      </c>
      <c r="E42" s="62">
        <v>131.69</v>
      </c>
      <c r="F42" s="62">
        <f t="shared" si="1"/>
        <v>2.5422779922779926</v>
      </c>
    </row>
    <row r="43" spans="1:15" ht="20.25" customHeight="1">
      <c r="A43" s="57" t="s">
        <v>437</v>
      </c>
      <c r="B43" s="93" t="s">
        <v>39</v>
      </c>
      <c r="C43" s="125"/>
      <c r="D43" s="126"/>
      <c r="E43" s="62"/>
      <c r="F43" s="127">
        <f>F45+F46+F47+F48+F49+F50+F51</f>
        <v>382.58399922779915</v>
      </c>
    </row>
    <row r="44" spans="1:15" ht="14.25">
      <c r="A44" s="57"/>
      <c r="B44" s="93"/>
      <c r="C44" s="125"/>
      <c r="D44" s="94"/>
      <c r="E44" s="62"/>
      <c r="F44" s="62"/>
    </row>
    <row r="45" spans="1:15">
      <c r="A45" s="49" t="s">
        <v>438</v>
      </c>
      <c r="B45" s="54" t="s">
        <v>40</v>
      </c>
      <c r="C45" s="128" t="s">
        <v>88</v>
      </c>
      <c r="D45" s="129">
        <f>1/25/$D$8</f>
        <v>1.5444015444015444E-2</v>
      </c>
      <c r="E45" s="62">
        <v>1745.47</v>
      </c>
      <c r="F45" s="62">
        <f t="shared" ref="F45:F50" si="2">E45*D45</f>
        <v>26.957065637065639</v>
      </c>
    </row>
    <row r="46" spans="1:15">
      <c r="A46" s="49" t="s">
        <v>439</v>
      </c>
      <c r="B46" s="54" t="s">
        <v>389</v>
      </c>
      <c r="C46" s="128" t="s">
        <v>88</v>
      </c>
      <c r="D46" s="129">
        <f>1/25/$D$8</f>
        <v>1.5444015444015444E-2</v>
      </c>
      <c r="E46" s="62">
        <v>3175.4</v>
      </c>
      <c r="F46" s="62">
        <f t="shared" si="2"/>
        <v>49.040926640926642</v>
      </c>
    </row>
    <row r="47" spans="1:15">
      <c r="A47" s="49" t="s">
        <v>440</v>
      </c>
      <c r="B47" s="54" t="s">
        <v>129</v>
      </c>
      <c r="C47" s="128" t="s">
        <v>88</v>
      </c>
      <c r="D47" s="129">
        <f>1/20/$D$8</f>
        <v>1.9305019305019308E-2</v>
      </c>
      <c r="E47" s="62">
        <v>188.63</v>
      </c>
      <c r="F47" s="62">
        <f t="shared" si="2"/>
        <v>3.641505791505792</v>
      </c>
    </row>
    <row r="48" spans="1:15">
      <c r="A48" s="49" t="s">
        <v>441</v>
      </c>
      <c r="B48" s="54" t="s">
        <v>390</v>
      </c>
      <c r="C48" s="128" t="s">
        <v>88</v>
      </c>
      <c r="D48" s="129">
        <f>3/25/$D$8</f>
        <v>4.633204633204633E-2</v>
      </c>
      <c r="E48" s="62">
        <v>5479.41</v>
      </c>
      <c r="F48" s="62">
        <f t="shared" si="2"/>
        <v>253.87227799227799</v>
      </c>
    </row>
    <row r="49" spans="1:6">
      <c r="A49" s="49" t="s">
        <v>442</v>
      </c>
      <c r="B49" s="54" t="s">
        <v>331</v>
      </c>
      <c r="C49" s="128" t="s">
        <v>88</v>
      </c>
      <c r="D49" s="129">
        <f>1/25/$D$8</f>
        <v>1.5444015444015444E-2</v>
      </c>
      <c r="E49" s="62">
        <v>794.27</v>
      </c>
      <c r="F49" s="62">
        <f t="shared" si="2"/>
        <v>12.266718146718146</v>
      </c>
    </row>
    <row r="50" spans="1:6">
      <c r="A50" s="49" t="s">
        <v>443</v>
      </c>
      <c r="B50" s="54" t="s">
        <v>41</v>
      </c>
      <c r="C50" s="128" t="s">
        <v>88</v>
      </c>
      <c r="D50" s="129">
        <f>3/15/$D$8</f>
        <v>7.7220077220077232E-2</v>
      </c>
      <c r="E50" s="62">
        <v>196.19</v>
      </c>
      <c r="F50" s="62">
        <f t="shared" si="2"/>
        <v>15.149806949806951</v>
      </c>
    </row>
    <row r="51" spans="1:6" ht="15">
      <c r="A51" s="49" t="s">
        <v>444</v>
      </c>
      <c r="B51" s="54" t="s">
        <v>361</v>
      </c>
      <c r="C51" s="128"/>
      <c r="D51" s="129"/>
      <c r="E51" s="62"/>
      <c r="F51" s="132">
        <f>(F45+F46+F47+F48+F49+F50)*0.06</f>
        <v>21.655698069498065</v>
      </c>
    </row>
    <row r="52" spans="1:6">
      <c r="A52" s="51"/>
      <c r="B52" s="54"/>
      <c r="C52" s="128"/>
      <c r="D52" s="129"/>
      <c r="E52" s="62"/>
      <c r="F52" s="62"/>
    </row>
    <row r="53" spans="1:6" ht="14.25">
      <c r="A53" s="133" t="s">
        <v>445</v>
      </c>
      <c r="B53" s="93" t="s">
        <v>33</v>
      </c>
      <c r="C53" s="128"/>
      <c r="D53" s="126"/>
      <c r="E53" s="62"/>
      <c r="F53" s="127">
        <f>F55+F62</f>
        <v>925.73963513513513</v>
      </c>
    </row>
    <row r="54" spans="1:6" ht="14.25">
      <c r="A54" s="133"/>
      <c r="B54" s="93"/>
      <c r="C54" s="128"/>
      <c r="D54" s="94"/>
      <c r="E54" s="62"/>
      <c r="F54" s="62"/>
    </row>
    <row r="55" spans="1:6" ht="15">
      <c r="A55" s="134" t="s">
        <v>446</v>
      </c>
      <c r="B55" s="135" t="s">
        <v>568</v>
      </c>
      <c r="C55" s="128"/>
      <c r="D55" s="94"/>
      <c r="E55" s="62"/>
      <c r="F55" s="136">
        <f>F56+F57+F58+F60+F61</f>
        <v>605.49613899613894</v>
      </c>
    </row>
    <row r="56" spans="1:6">
      <c r="A56" s="51" t="s">
        <v>502</v>
      </c>
      <c r="B56" s="54" t="s">
        <v>391</v>
      </c>
      <c r="C56" s="128" t="s">
        <v>88</v>
      </c>
      <c r="D56" s="129">
        <f>42/1/$D$8</f>
        <v>16.216216216216218</v>
      </c>
      <c r="E56" s="62">
        <v>10.56</v>
      </c>
      <c r="F56" s="62">
        <f>E56*D56</f>
        <v>171.24324324324326</v>
      </c>
    </row>
    <row r="57" spans="1:6">
      <c r="A57" s="51" t="s">
        <v>503</v>
      </c>
      <c r="B57" s="54" t="s">
        <v>392</v>
      </c>
      <c r="C57" s="128" t="s">
        <v>88</v>
      </c>
      <c r="D57" s="129">
        <f>34/1/$D$8</f>
        <v>13.127413127413128</v>
      </c>
      <c r="E57" s="62">
        <v>6.6374999999999993</v>
      </c>
      <c r="F57" s="62">
        <f>E57*D57</f>
        <v>87.133204633204627</v>
      </c>
    </row>
    <row r="58" spans="1:6">
      <c r="A58" s="51" t="s">
        <v>504</v>
      </c>
      <c r="B58" s="54" t="s">
        <v>569</v>
      </c>
      <c r="C58" s="128" t="s">
        <v>88</v>
      </c>
      <c r="D58" s="129">
        <f>24/1/$D$8</f>
        <v>9.2664092664092674</v>
      </c>
      <c r="E58" s="62">
        <v>23.5</v>
      </c>
      <c r="F58" s="62">
        <f>E58*D58</f>
        <v>217.76061776061778</v>
      </c>
    </row>
    <row r="59" spans="1:6">
      <c r="A59" s="51"/>
      <c r="B59" s="54" t="s">
        <v>393</v>
      </c>
      <c r="C59" s="128"/>
      <c r="D59" s="129"/>
      <c r="E59" s="62"/>
      <c r="F59" s="62"/>
    </row>
    <row r="60" spans="1:6">
      <c r="A60" s="51" t="s">
        <v>505</v>
      </c>
      <c r="B60" s="54" t="s">
        <v>394</v>
      </c>
      <c r="C60" s="128" t="s">
        <v>88</v>
      </c>
      <c r="D60" s="129">
        <f>6/1/$D$8</f>
        <v>2.3166023166023169</v>
      </c>
      <c r="E60" s="62">
        <v>43.52</v>
      </c>
      <c r="F60" s="62">
        <f>E60*D60</f>
        <v>100.81853281853283</v>
      </c>
    </row>
    <row r="61" spans="1:6">
      <c r="A61" s="51" t="s">
        <v>506</v>
      </c>
      <c r="B61" s="54" t="s">
        <v>395</v>
      </c>
      <c r="C61" s="128" t="s">
        <v>88</v>
      </c>
      <c r="D61" s="129">
        <f>6/1/$D$8</f>
        <v>2.3166023166023169</v>
      </c>
      <c r="E61" s="62">
        <v>12.32</v>
      </c>
      <c r="F61" s="62">
        <f>E61*D61</f>
        <v>28.540540540540544</v>
      </c>
    </row>
    <row r="62" spans="1:6" ht="15">
      <c r="A62" s="51" t="s">
        <v>447</v>
      </c>
      <c r="B62" s="137" t="s">
        <v>332</v>
      </c>
      <c r="C62" s="128"/>
      <c r="D62" s="129"/>
      <c r="E62" s="62"/>
      <c r="F62" s="136">
        <f>F63+F64+F65+F66+F67+F68</f>
        <v>320.24349613899614</v>
      </c>
    </row>
    <row r="63" spans="1:6">
      <c r="A63" s="51" t="s">
        <v>507</v>
      </c>
      <c r="B63" s="54" t="s">
        <v>396</v>
      </c>
      <c r="C63" s="128" t="s">
        <v>88</v>
      </c>
      <c r="D63" s="129">
        <f>17/1/$D$8</f>
        <v>6.5637065637065639</v>
      </c>
      <c r="E63" s="62">
        <v>33.464999999999996</v>
      </c>
      <c r="F63" s="62">
        <f>E63*D63</f>
        <v>219.65444015444012</v>
      </c>
    </row>
    <row r="64" spans="1:6">
      <c r="A64" s="51" t="s">
        <v>508</v>
      </c>
      <c r="B64" s="54" t="s">
        <v>83</v>
      </c>
      <c r="C64" s="128" t="s">
        <v>88</v>
      </c>
      <c r="D64" s="129">
        <f>6/1/$D$8</f>
        <v>2.3166023166023169</v>
      </c>
      <c r="E64" s="62">
        <v>11.26</v>
      </c>
      <c r="F64" s="62">
        <f>E64*D64</f>
        <v>26.084942084942089</v>
      </c>
    </row>
    <row r="65" spans="1:39">
      <c r="A65" s="51" t="s">
        <v>509</v>
      </c>
      <c r="B65" s="54" t="s">
        <v>84</v>
      </c>
      <c r="C65" s="128" t="s">
        <v>88</v>
      </c>
      <c r="D65" s="129">
        <f>2/1/$D$8</f>
        <v>0.77220077220077221</v>
      </c>
      <c r="E65" s="62">
        <v>11.1</v>
      </c>
      <c r="F65" s="62">
        <f>E65*D65</f>
        <v>8.5714285714285712</v>
      </c>
    </row>
    <row r="66" spans="1:39">
      <c r="A66" s="51" t="s">
        <v>510</v>
      </c>
      <c r="B66" s="54" t="s">
        <v>85</v>
      </c>
      <c r="C66" s="128" t="s">
        <v>88</v>
      </c>
      <c r="D66" s="129">
        <f>3/1/$D$8</f>
        <v>1.1583011583011584</v>
      </c>
      <c r="E66" s="62">
        <v>10.119999999999999</v>
      </c>
      <c r="F66" s="62">
        <f>E66*D66</f>
        <v>11.722007722007723</v>
      </c>
    </row>
    <row r="67" spans="1:39">
      <c r="A67" s="51" t="s">
        <v>511</v>
      </c>
      <c r="B67" s="54" t="s">
        <v>86</v>
      </c>
      <c r="C67" s="128" t="s">
        <v>88</v>
      </c>
      <c r="D67" s="129">
        <f>36/1/$D$8</f>
        <v>13.8996138996139</v>
      </c>
      <c r="E67" s="62">
        <v>3.74</v>
      </c>
      <c r="F67" s="62">
        <f>E67*D67</f>
        <v>51.984555984555989</v>
      </c>
    </row>
    <row r="68" spans="1:39">
      <c r="A68" s="51" t="s">
        <v>512</v>
      </c>
      <c r="B68" s="54" t="s">
        <v>362</v>
      </c>
      <c r="C68" s="128"/>
      <c r="D68" s="129"/>
      <c r="E68" s="62"/>
      <c r="F68" s="62">
        <f>(F63+F64+F65+F66+F67)*0.007</f>
        <v>2.2261216216216213</v>
      </c>
    </row>
    <row r="69" spans="1:39" s="14" customFormat="1" ht="15">
      <c r="A69" s="133" t="s">
        <v>452</v>
      </c>
      <c r="B69" s="93" t="s">
        <v>34</v>
      </c>
      <c r="C69" s="138"/>
      <c r="D69" s="139"/>
      <c r="E69" s="62"/>
      <c r="F69" s="127">
        <f>SUM(F71:F81)</f>
        <v>266.77667953667952</v>
      </c>
      <c r="J69" s="18"/>
      <c r="K69" s="18"/>
      <c r="L69" s="18"/>
      <c r="M69" s="18"/>
      <c r="N69" s="18"/>
      <c r="O69" s="18"/>
      <c r="AF69" s="18"/>
      <c r="AG69" s="18"/>
      <c r="AH69" s="18"/>
      <c r="AI69" s="18"/>
      <c r="AJ69" s="18"/>
      <c r="AK69" s="18"/>
      <c r="AL69" s="18"/>
      <c r="AM69" s="18"/>
    </row>
    <row r="70" spans="1:39">
      <c r="A70" s="51"/>
      <c r="B70" s="54"/>
      <c r="C70" s="128"/>
      <c r="D70" s="129"/>
      <c r="E70" s="62"/>
      <c r="F70" s="62"/>
    </row>
    <row r="71" spans="1:39">
      <c r="A71" s="51" t="s">
        <v>513</v>
      </c>
      <c r="B71" s="54" t="s">
        <v>397</v>
      </c>
      <c r="C71" s="128" t="s">
        <v>333</v>
      </c>
      <c r="D71" s="129">
        <f>5/1/$D$8</f>
        <v>1.9305019305019306</v>
      </c>
      <c r="E71" s="62">
        <v>87.899999999999991</v>
      </c>
      <c r="F71" s="62">
        <f>E71*D71</f>
        <v>169.6911196911197</v>
      </c>
    </row>
    <row r="72" spans="1:39">
      <c r="A72" s="51" t="s">
        <v>514</v>
      </c>
      <c r="B72" s="54" t="s">
        <v>398</v>
      </c>
      <c r="C72" s="128" t="s">
        <v>89</v>
      </c>
      <c r="D72" s="129">
        <f>5/1/$D$8</f>
        <v>1.9305019305019306</v>
      </c>
      <c r="E72" s="62">
        <v>3.79</v>
      </c>
      <c r="F72" s="62">
        <f>E72*D72</f>
        <v>7.3166023166023173</v>
      </c>
    </row>
    <row r="73" spans="1:39">
      <c r="A73" s="51" t="s">
        <v>515</v>
      </c>
      <c r="B73" s="54" t="s">
        <v>634</v>
      </c>
      <c r="C73" s="128" t="s">
        <v>89</v>
      </c>
      <c r="D73" s="129">
        <f>5/1/$D$8</f>
        <v>1.9305019305019306</v>
      </c>
      <c r="E73" s="62">
        <v>2.39</v>
      </c>
      <c r="F73" s="62">
        <f>E73*D73</f>
        <v>4.6138996138996147</v>
      </c>
    </row>
    <row r="74" spans="1:39">
      <c r="A74" s="63"/>
      <c r="B74" s="140" t="s">
        <v>570</v>
      </c>
      <c r="C74" s="128"/>
      <c r="D74" s="129"/>
      <c r="E74" s="62"/>
      <c r="F74" s="62"/>
    </row>
    <row r="75" spans="1:39">
      <c r="A75" s="63" t="s">
        <v>516</v>
      </c>
      <c r="B75" s="54" t="s">
        <v>635</v>
      </c>
      <c r="C75" s="128" t="s">
        <v>399</v>
      </c>
      <c r="D75" s="129">
        <f>2/1/$D$8</f>
        <v>0.77220077220077221</v>
      </c>
      <c r="E75" s="62">
        <v>1.91</v>
      </c>
      <c r="F75" s="62">
        <f>E75*D75</f>
        <v>1.4749034749034748</v>
      </c>
    </row>
    <row r="76" spans="1:39">
      <c r="A76" s="63" t="s">
        <v>517</v>
      </c>
      <c r="B76" s="54" t="s">
        <v>624</v>
      </c>
      <c r="C76" s="128" t="s">
        <v>88</v>
      </c>
      <c r="D76" s="129">
        <f>5/1/$D$8</f>
        <v>1.9305019305019306</v>
      </c>
      <c r="E76" s="62">
        <v>6.29</v>
      </c>
      <c r="F76" s="62">
        <f>E76*D76</f>
        <v>12.142857142857144</v>
      </c>
    </row>
    <row r="77" spans="1:39">
      <c r="A77" s="51"/>
      <c r="B77" s="140" t="s">
        <v>571</v>
      </c>
      <c r="C77" s="128"/>
      <c r="D77" s="129"/>
      <c r="E77" s="62"/>
      <c r="F77" s="62"/>
    </row>
    <row r="78" spans="1:39">
      <c r="A78" s="51" t="s">
        <v>518</v>
      </c>
      <c r="B78" s="54" t="s">
        <v>572</v>
      </c>
      <c r="C78" s="128" t="s">
        <v>89</v>
      </c>
      <c r="D78" s="129">
        <f>9/1/$D$8</f>
        <v>3.4749034749034751</v>
      </c>
      <c r="E78" s="62">
        <v>12.24</v>
      </c>
      <c r="F78" s="62">
        <f>E78*D78</f>
        <v>42.532818532818538</v>
      </c>
    </row>
    <row r="79" spans="1:39">
      <c r="A79" s="51" t="s">
        <v>519</v>
      </c>
      <c r="B79" s="54" t="s">
        <v>573</v>
      </c>
      <c r="C79" s="128" t="s">
        <v>88</v>
      </c>
      <c r="D79" s="129">
        <f>1/1/$D$8</f>
        <v>0.38610038610038611</v>
      </c>
      <c r="E79" s="62">
        <v>5.05</v>
      </c>
      <c r="F79" s="62">
        <f>E79*D79</f>
        <v>1.9498069498069497</v>
      </c>
    </row>
    <row r="80" spans="1:39">
      <c r="A80" s="51" t="s">
        <v>520</v>
      </c>
      <c r="B80" s="54" t="s">
        <v>334</v>
      </c>
      <c r="C80" s="128" t="s">
        <v>88</v>
      </c>
      <c r="D80" s="129">
        <f>1/1/$D$8</f>
        <v>0.38610038610038611</v>
      </c>
      <c r="E80" s="62">
        <v>18.89</v>
      </c>
      <c r="F80" s="62">
        <f>E80*D80</f>
        <v>7.2934362934362937</v>
      </c>
    </row>
    <row r="81" spans="1:6">
      <c r="A81" s="51" t="s">
        <v>521</v>
      </c>
      <c r="B81" s="54" t="s">
        <v>363</v>
      </c>
      <c r="C81" s="128"/>
      <c r="D81" s="48"/>
      <c r="E81" s="62"/>
      <c r="F81" s="62">
        <f>(F71+F72+F73+F75+F76+F78+F79+F80)*0.08</f>
        <v>19.76123552123552</v>
      </c>
    </row>
    <row r="82" spans="1:6" ht="18.75">
      <c r="A82" s="141" t="s">
        <v>374</v>
      </c>
      <c r="B82" s="142"/>
      <c r="C82" s="143"/>
      <c r="D82" s="144"/>
      <c r="E82" s="143"/>
      <c r="F82" s="323">
        <f>F10+F21+F33+F43+F53+F69</f>
        <v>2396.9836791015505</v>
      </c>
    </row>
    <row r="83" spans="1:6" ht="18.75">
      <c r="A83" s="145" t="s">
        <v>375</v>
      </c>
      <c r="B83" s="146"/>
      <c r="C83" s="147"/>
      <c r="D83" s="147"/>
      <c r="E83" s="147"/>
      <c r="F83" s="321">
        <f>F82/12</f>
        <v>199.7486399251292</v>
      </c>
    </row>
  </sheetData>
  <mergeCells count="2">
    <mergeCell ref="A1:F1"/>
    <mergeCell ref="A2:F2"/>
  </mergeCells>
  <phoneticPr fontId="29" type="noConversion"/>
  <pageMargins left="0.55000000000000004" right="0.24" top="0.77" bottom="1.1499999999999999" header="0.4" footer="0.65"/>
  <pageSetup paperSize="9" orientation="portrait" horizontalDpi="4294967293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6"/>
  <sheetViews>
    <sheetView topLeftCell="C40" zoomScale="75" workbookViewId="0">
      <selection activeCell="F53" sqref="F53:F55"/>
    </sheetView>
  </sheetViews>
  <sheetFormatPr defaultRowHeight="12.75"/>
  <cols>
    <col min="1" max="1" width="6.28515625" style="24" customWidth="1"/>
    <col min="2" max="2" width="31" style="3" customWidth="1"/>
    <col min="3" max="3" width="7" style="3" customWidth="1"/>
    <col min="4" max="4" width="18.85546875" style="6" customWidth="1"/>
    <col min="5" max="5" width="10.42578125" style="3" customWidth="1"/>
    <col min="6" max="6" width="12.5703125" style="6" customWidth="1"/>
    <col min="8" max="8" width="9.85546875" bestFit="1" customWidth="1"/>
  </cols>
  <sheetData>
    <row r="1" spans="1:11" ht="15.75">
      <c r="A1" s="346" t="s">
        <v>415</v>
      </c>
      <c r="B1" s="346"/>
      <c r="C1" s="346"/>
      <c r="D1" s="346"/>
      <c r="E1" s="346"/>
      <c r="F1" s="346"/>
    </row>
    <row r="2" spans="1:11" ht="15.75">
      <c r="A2" s="347" t="s">
        <v>656</v>
      </c>
      <c r="B2" s="347"/>
      <c r="C2" s="347"/>
      <c r="D2" s="347"/>
      <c r="E2" s="347"/>
      <c r="F2" s="347"/>
      <c r="G2" s="14" t="s">
        <v>626</v>
      </c>
    </row>
    <row r="3" spans="1:11" ht="15">
      <c r="A3" s="202" t="s">
        <v>42</v>
      </c>
      <c r="B3" s="203"/>
      <c r="C3" s="41" t="s">
        <v>92</v>
      </c>
      <c r="D3" s="55" t="s">
        <v>238</v>
      </c>
      <c r="E3" s="41" t="s">
        <v>94</v>
      </c>
      <c r="F3" s="41" t="s">
        <v>107</v>
      </c>
      <c r="G3" s="18">
        <v>1</v>
      </c>
    </row>
    <row r="4" spans="1:11">
      <c r="A4" s="204" t="s">
        <v>373</v>
      </c>
      <c r="B4" s="128" t="s">
        <v>302</v>
      </c>
      <c r="C4" s="46" t="s">
        <v>81</v>
      </c>
      <c r="D4" s="53" t="s">
        <v>240</v>
      </c>
      <c r="E4" s="46" t="s">
        <v>95</v>
      </c>
      <c r="F4" s="46" t="s">
        <v>105</v>
      </c>
      <c r="K4" s="7"/>
    </row>
    <row r="5" spans="1:11">
      <c r="A5" s="205"/>
      <c r="B5" s="128" t="s">
        <v>112</v>
      </c>
      <c r="C5" s="46"/>
      <c r="D5" s="53" t="s">
        <v>241</v>
      </c>
      <c r="E5" s="46" t="s">
        <v>632</v>
      </c>
      <c r="F5" s="48"/>
    </row>
    <row r="6" spans="1:11">
      <c r="A6" s="205"/>
      <c r="B6" s="161"/>
      <c r="C6" s="46"/>
      <c r="D6" s="46" t="s">
        <v>314</v>
      </c>
      <c r="E6" s="46" t="s">
        <v>669</v>
      </c>
      <c r="F6" s="48"/>
    </row>
    <row r="7" spans="1:11">
      <c r="A7" s="206"/>
      <c r="B7" s="162"/>
      <c r="C7" s="46"/>
      <c r="D7" s="53" t="s">
        <v>242</v>
      </c>
      <c r="E7" s="50"/>
      <c r="F7" s="48"/>
    </row>
    <row r="8" spans="1:11">
      <c r="A8" s="206"/>
      <c r="B8" s="162"/>
      <c r="C8" s="46"/>
      <c r="D8" s="53" t="s">
        <v>257</v>
      </c>
      <c r="E8" s="50"/>
      <c r="F8" s="48"/>
    </row>
    <row r="9" spans="1:11">
      <c r="A9" s="206"/>
      <c r="B9" s="162"/>
      <c r="C9" s="46"/>
      <c r="D9" s="53"/>
      <c r="E9" s="50"/>
      <c r="F9" s="48"/>
    </row>
    <row r="10" spans="1:11">
      <c r="A10" s="206"/>
      <c r="B10" s="162"/>
      <c r="C10" s="46"/>
      <c r="D10" s="53">
        <v>51.5</v>
      </c>
      <c r="E10" s="50"/>
      <c r="F10" s="48"/>
    </row>
    <row r="11" spans="1:11">
      <c r="A11" s="207"/>
      <c r="B11" s="208"/>
      <c r="C11" s="92"/>
      <c r="D11" s="104">
        <v>48.5</v>
      </c>
      <c r="E11" s="278" t="s">
        <v>657</v>
      </c>
      <c r="F11" s="123" t="s">
        <v>657</v>
      </c>
    </row>
    <row r="12" spans="1:11" ht="14.25">
      <c r="A12" s="209"/>
      <c r="B12" s="210" t="s">
        <v>127</v>
      </c>
      <c r="C12" s="41"/>
      <c r="D12" s="43"/>
      <c r="E12" s="176"/>
      <c r="F12" s="43"/>
    </row>
    <row r="13" spans="1:11" ht="14.25">
      <c r="A13" s="49"/>
      <c r="B13" s="211" t="s">
        <v>128</v>
      </c>
      <c r="C13" s="46"/>
      <c r="D13" s="48"/>
      <c r="E13" s="128"/>
      <c r="F13" s="136">
        <f>F14+F17+F19+F29+F31+F35+F39+F42+F45+F47+F49+F51+F52</f>
        <v>3802.8898440476196</v>
      </c>
    </row>
    <row r="14" spans="1:11" ht="14.25">
      <c r="A14" s="57">
        <v>1</v>
      </c>
      <c r="B14" s="58" t="s">
        <v>10</v>
      </c>
      <c r="C14" s="46" t="s">
        <v>88</v>
      </c>
      <c r="D14" s="126"/>
      <c r="E14" s="171"/>
      <c r="F14" s="136">
        <f>F15</f>
        <v>498.96499999999997</v>
      </c>
    </row>
    <row r="15" spans="1:11">
      <c r="A15" s="49" t="s">
        <v>424</v>
      </c>
      <c r="B15" s="52" t="s">
        <v>258</v>
      </c>
      <c r="C15" s="46" t="s">
        <v>88</v>
      </c>
      <c r="D15" s="62">
        <f>1/2</f>
        <v>0.5</v>
      </c>
      <c r="E15" s="61">
        <v>997.93</v>
      </c>
      <c r="F15" s="62">
        <f>E15*D15</f>
        <v>498.96499999999997</v>
      </c>
    </row>
    <row r="16" spans="1:11">
      <c r="A16" s="49"/>
      <c r="B16" s="52" t="s">
        <v>259</v>
      </c>
      <c r="C16" s="46"/>
      <c r="D16" s="48"/>
      <c r="E16" s="61"/>
      <c r="F16" s="62"/>
    </row>
    <row r="17" spans="1:8" ht="14.25">
      <c r="A17" s="57" t="s">
        <v>435</v>
      </c>
      <c r="B17" s="58" t="s">
        <v>578</v>
      </c>
      <c r="C17" s="46" t="s">
        <v>88</v>
      </c>
      <c r="D17" s="136"/>
      <c r="E17" s="61"/>
      <c r="F17" s="136">
        <f>F18</f>
        <v>498.96499999999997</v>
      </c>
    </row>
    <row r="18" spans="1:8">
      <c r="A18" s="49" t="s">
        <v>494</v>
      </c>
      <c r="B18" s="52" t="s">
        <v>344</v>
      </c>
      <c r="C18" s="46" t="s">
        <v>88</v>
      </c>
      <c r="D18" s="62">
        <f>1/2</f>
        <v>0.5</v>
      </c>
      <c r="E18" s="61">
        <v>997.93</v>
      </c>
      <c r="F18" s="62">
        <f>E18*D18</f>
        <v>498.96499999999997</v>
      </c>
    </row>
    <row r="19" spans="1:8" ht="14.25">
      <c r="A19" s="57" t="s">
        <v>436</v>
      </c>
      <c r="B19" s="58" t="s">
        <v>20</v>
      </c>
      <c r="C19" s="212"/>
      <c r="D19" s="126"/>
      <c r="E19" s="61"/>
      <c r="F19" s="136">
        <f>F20+F22+F24+F26+F27+F28</f>
        <v>695.19206071428573</v>
      </c>
    </row>
    <row r="20" spans="1:8">
      <c r="A20" s="49" t="s">
        <v>478</v>
      </c>
      <c r="B20" s="52" t="s">
        <v>260</v>
      </c>
      <c r="C20" s="46" t="s">
        <v>88</v>
      </c>
      <c r="D20" s="129">
        <f>2/3.5*$D$11/100</f>
        <v>0.27714285714285714</v>
      </c>
      <c r="E20" s="61">
        <v>220.96</v>
      </c>
      <c r="F20" s="62">
        <f>E20*D20</f>
        <v>61.237485714285718</v>
      </c>
      <c r="H20" s="29"/>
    </row>
    <row r="21" spans="1:8">
      <c r="A21" s="49"/>
      <c r="B21" s="52" t="s">
        <v>261</v>
      </c>
      <c r="C21" s="46"/>
      <c r="D21" s="129"/>
      <c r="E21" s="61"/>
      <c r="F21" s="62"/>
    </row>
    <row r="22" spans="1:8">
      <c r="A22" s="49" t="s">
        <v>479</v>
      </c>
      <c r="B22" s="52" t="s">
        <v>246</v>
      </c>
      <c r="C22" s="46" t="s">
        <v>88</v>
      </c>
      <c r="D22" s="129">
        <f>2/1*$D$10/100</f>
        <v>1.03</v>
      </c>
      <c r="E22" s="61">
        <v>140.87</v>
      </c>
      <c r="F22" s="62">
        <f>E22*D22</f>
        <v>145.09610000000001</v>
      </c>
    </row>
    <row r="23" spans="1:8">
      <c r="A23" s="49"/>
      <c r="B23" s="52" t="s">
        <v>603</v>
      </c>
      <c r="C23" s="46"/>
      <c r="D23" s="129"/>
      <c r="E23" s="61"/>
      <c r="F23" s="62"/>
    </row>
    <row r="24" spans="1:8">
      <c r="A24" s="49" t="s">
        <v>480</v>
      </c>
      <c r="B24" s="52" t="s">
        <v>262</v>
      </c>
      <c r="C24" s="46" t="s">
        <v>88</v>
      </c>
      <c r="D24" s="129">
        <f>1/2*$D$10/100</f>
        <v>0.25750000000000001</v>
      </c>
      <c r="E24" s="61">
        <v>229.77</v>
      </c>
      <c r="F24" s="62">
        <f>E24*D24</f>
        <v>59.165775000000004</v>
      </c>
    </row>
    <row r="25" spans="1:8">
      <c r="A25" s="49"/>
      <c r="B25" s="52" t="s">
        <v>244</v>
      </c>
      <c r="C25" s="46"/>
      <c r="D25" s="129"/>
      <c r="E25" s="61"/>
      <c r="F25" s="62"/>
    </row>
    <row r="26" spans="1:8">
      <c r="A26" s="49" t="s">
        <v>481</v>
      </c>
      <c r="B26" s="52" t="s">
        <v>345</v>
      </c>
      <c r="C26" s="46" t="s">
        <v>88</v>
      </c>
      <c r="D26" s="129">
        <f>1/1.5*$D$10/100</f>
        <v>0.34333333333333327</v>
      </c>
      <c r="E26" s="61">
        <v>229.77</v>
      </c>
      <c r="F26" s="62">
        <f>E26*D26</f>
        <v>78.887699999999995</v>
      </c>
    </row>
    <row r="27" spans="1:8">
      <c r="A27" s="49" t="s">
        <v>482</v>
      </c>
      <c r="B27" s="52" t="s">
        <v>376</v>
      </c>
      <c r="C27" s="46" t="s">
        <v>88</v>
      </c>
      <c r="D27" s="62">
        <f>1/2</f>
        <v>0.5</v>
      </c>
      <c r="E27" s="61">
        <v>195.37</v>
      </c>
      <c r="F27" s="62">
        <f>E27*D27</f>
        <v>97.685000000000002</v>
      </c>
    </row>
    <row r="28" spans="1:8">
      <c r="A28" s="49" t="s">
        <v>483</v>
      </c>
      <c r="B28" s="52" t="s">
        <v>11</v>
      </c>
      <c r="C28" s="46" t="s">
        <v>88</v>
      </c>
      <c r="D28" s="98">
        <f>1/1</f>
        <v>1</v>
      </c>
      <c r="E28" s="61">
        <v>253.12</v>
      </c>
      <c r="F28" s="62">
        <f>E28*D28</f>
        <v>253.12</v>
      </c>
    </row>
    <row r="29" spans="1:8" ht="14.25">
      <c r="A29" s="96" t="s">
        <v>437</v>
      </c>
      <c r="B29" s="110" t="s">
        <v>263</v>
      </c>
      <c r="C29" s="46" t="s">
        <v>211</v>
      </c>
      <c r="D29" s="129">
        <f>1/6</f>
        <v>0.16666666666666666</v>
      </c>
      <c r="E29" s="61">
        <v>201.12</v>
      </c>
      <c r="F29" s="136">
        <f>E29*D29</f>
        <v>33.519999999999996</v>
      </c>
    </row>
    <row r="30" spans="1:8" ht="15">
      <c r="A30" s="96"/>
      <c r="B30" s="213" t="s">
        <v>574</v>
      </c>
      <c r="C30" s="46"/>
      <c r="D30" s="129"/>
      <c r="E30" s="61"/>
      <c r="F30" s="136"/>
    </row>
    <row r="31" spans="1:8" ht="14.25">
      <c r="A31" s="96" t="s">
        <v>445</v>
      </c>
      <c r="B31" s="110" t="s">
        <v>12</v>
      </c>
      <c r="C31" s="54"/>
      <c r="D31" s="54"/>
      <c r="E31" s="61"/>
      <c r="F31" s="136">
        <f>F32+F33+F34</f>
        <v>583.25833333333333</v>
      </c>
    </row>
    <row r="32" spans="1:8">
      <c r="A32" s="49" t="s">
        <v>446</v>
      </c>
      <c r="B32" s="32" t="s">
        <v>13</v>
      </c>
      <c r="C32" s="46" t="s">
        <v>88</v>
      </c>
      <c r="D32" s="129">
        <f>5/1.5</f>
        <v>3.3333333333333335</v>
      </c>
      <c r="E32" s="61">
        <v>38.409999999999997</v>
      </c>
      <c r="F32" s="62">
        <f>E32*D32</f>
        <v>128.03333333333333</v>
      </c>
    </row>
    <row r="33" spans="1:6">
      <c r="A33" s="49" t="s">
        <v>447</v>
      </c>
      <c r="B33" s="32" t="s">
        <v>575</v>
      </c>
      <c r="C33" s="46" t="s">
        <v>88</v>
      </c>
      <c r="D33" s="98">
        <f>3/1</f>
        <v>3</v>
      </c>
      <c r="E33" s="61">
        <v>127.21</v>
      </c>
      <c r="F33" s="62">
        <f>E33*D33</f>
        <v>381.63</v>
      </c>
    </row>
    <row r="34" spans="1:6">
      <c r="A34" s="49" t="s">
        <v>448</v>
      </c>
      <c r="B34" s="32" t="s">
        <v>24</v>
      </c>
      <c r="C34" s="46" t="s">
        <v>88</v>
      </c>
      <c r="D34" s="62">
        <f>1/2</f>
        <v>0.5</v>
      </c>
      <c r="E34" s="61">
        <v>147.19</v>
      </c>
      <c r="F34" s="62">
        <f>E34*D34</f>
        <v>73.594999999999999</v>
      </c>
    </row>
    <row r="35" spans="1:6" ht="14.25">
      <c r="A35" s="57" t="s">
        <v>452</v>
      </c>
      <c r="B35" s="58" t="s">
        <v>14</v>
      </c>
      <c r="C35" s="212"/>
      <c r="D35" s="126"/>
      <c r="E35" s="61"/>
      <c r="F35" s="136">
        <f>F36+F37+F38</f>
        <v>187.40944999999999</v>
      </c>
    </row>
    <row r="36" spans="1:6">
      <c r="A36" s="49" t="s">
        <v>513</v>
      </c>
      <c r="B36" s="52" t="s">
        <v>249</v>
      </c>
      <c r="C36" s="46" t="s">
        <v>88</v>
      </c>
      <c r="D36" s="129">
        <f>4/1*$D$10/100</f>
        <v>2.06</v>
      </c>
      <c r="E36" s="61">
        <v>15.63</v>
      </c>
      <c r="F36" s="62">
        <f>E36*D36</f>
        <v>32.197800000000001</v>
      </c>
    </row>
    <row r="37" spans="1:6">
      <c r="A37" s="49" t="s">
        <v>514</v>
      </c>
      <c r="B37" s="32" t="s">
        <v>250</v>
      </c>
      <c r="C37" s="46" t="s">
        <v>88</v>
      </c>
      <c r="D37" s="129">
        <f>3/1*$D$11/100</f>
        <v>1.4550000000000001</v>
      </c>
      <c r="E37" s="61">
        <v>75.63</v>
      </c>
      <c r="F37" s="62">
        <f>E37*D37</f>
        <v>110.04165</v>
      </c>
    </row>
    <row r="38" spans="1:6">
      <c r="A38" s="49" t="s">
        <v>515</v>
      </c>
      <c r="B38" s="32" t="s">
        <v>227</v>
      </c>
      <c r="C38" s="46" t="s">
        <v>88</v>
      </c>
      <c r="D38" s="62">
        <f>1/2</f>
        <v>0.5</v>
      </c>
      <c r="E38" s="61">
        <v>90.34</v>
      </c>
      <c r="F38" s="62">
        <f>E38*D38</f>
        <v>45.17</v>
      </c>
    </row>
    <row r="39" spans="1:6" ht="14.25">
      <c r="A39" s="57" t="s">
        <v>453</v>
      </c>
      <c r="B39" s="110" t="s">
        <v>15</v>
      </c>
      <c r="C39" s="212"/>
      <c r="D39" s="126"/>
      <c r="E39" s="61"/>
      <c r="F39" s="136">
        <f>F40</f>
        <v>79.92</v>
      </c>
    </row>
    <row r="40" spans="1:6">
      <c r="A40" s="49" t="s">
        <v>454</v>
      </c>
      <c r="B40" s="32" t="s">
        <v>251</v>
      </c>
      <c r="C40" s="46" t="s">
        <v>88</v>
      </c>
      <c r="D40" s="62">
        <f>1/2</f>
        <v>0.5</v>
      </c>
      <c r="E40" s="61">
        <v>159.84</v>
      </c>
      <c r="F40" s="62">
        <f>E40*D40</f>
        <v>79.92</v>
      </c>
    </row>
    <row r="41" spans="1:6">
      <c r="A41" s="95"/>
      <c r="B41" s="32" t="s">
        <v>264</v>
      </c>
      <c r="C41" s="54"/>
      <c r="D41" s="48"/>
      <c r="E41" s="61"/>
      <c r="F41" s="62"/>
    </row>
    <row r="42" spans="1:6" ht="14.25">
      <c r="A42" s="57" t="s">
        <v>458</v>
      </c>
      <c r="B42" s="110" t="s">
        <v>16</v>
      </c>
      <c r="C42" s="212"/>
      <c r="D42" s="126"/>
      <c r="E42" s="61"/>
      <c r="F42" s="136">
        <f>F44</f>
        <v>23.759999999999998</v>
      </c>
    </row>
    <row r="43" spans="1:6">
      <c r="A43" s="49" t="s">
        <v>459</v>
      </c>
      <c r="B43" s="32" t="s">
        <v>265</v>
      </c>
      <c r="C43" s="46"/>
      <c r="D43" s="129"/>
      <c r="E43" s="61"/>
      <c r="F43" s="62"/>
    </row>
    <row r="44" spans="1:6">
      <c r="A44" s="95"/>
      <c r="B44" s="32" t="s">
        <v>252</v>
      </c>
      <c r="C44" s="46" t="s">
        <v>88</v>
      </c>
      <c r="D44" s="129">
        <f>2/3</f>
        <v>0.66666666666666663</v>
      </c>
      <c r="E44" s="61">
        <v>35.64</v>
      </c>
      <c r="F44" s="62">
        <f>E44*D44</f>
        <v>23.759999999999998</v>
      </c>
    </row>
    <row r="45" spans="1:6" ht="14.25">
      <c r="A45" s="57" t="s">
        <v>465</v>
      </c>
      <c r="B45" s="110" t="s">
        <v>17</v>
      </c>
      <c r="C45" s="212"/>
      <c r="D45" s="126"/>
      <c r="E45" s="61"/>
      <c r="F45" s="136">
        <f>F46</f>
        <v>357.63</v>
      </c>
    </row>
    <row r="46" spans="1:6">
      <c r="A46" s="49" t="s">
        <v>486</v>
      </c>
      <c r="B46" s="32" t="s">
        <v>576</v>
      </c>
      <c r="C46" s="46" t="s">
        <v>335</v>
      </c>
      <c r="D46" s="98">
        <f>1/1</f>
        <v>1</v>
      </c>
      <c r="E46" s="61">
        <v>357.63</v>
      </c>
      <c r="F46" s="62">
        <f>E46*D46</f>
        <v>357.63</v>
      </c>
    </row>
    <row r="47" spans="1:6" ht="14.25">
      <c r="A47" s="57" t="s">
        <v>466</v>
      </c>
      <c r="B47" s="110" t="s">
        <v>18</v>
      </c>
      <c r="C47" s="212"/>
      <c r="D47" s="214"/>
      <c r="E47" s="61"/>
      <c r="F47" s="136">
        <f>F48</f>
        <v>291.58999999999997</v>
      </c>
    </row>
    <row r="48" spans="1:6">
      <c r="A48" s="49" t="s">
        <v>467</v>
      </c>
      <c r="B48" s="32" t="s">
        <v>255</v>
      </c>
      <c r="C48" s="46" t="s">
        <v>335</v>
      </c>
      <c r="D48" s="98">
        <f>1/1</f>
        <v>1</v>
      </c>
      <c r="E48" s="61">
        <v>291.58999999999997</v>
      </c>
      <c r="F48" s="62">
        <f>E48*D48</f>
        <v>291.58999999999997</v>
      </c>
    </row>
    <row r="49" spans="1:6" ht="14.25">
      <c r="A49" s="57" t="s">
        <v>469</v>
      </c>
      <c r="B49" s="110" t="s">
        <v>19</v>
      </c>
      <c r="C49" s="212"/>
      <c r="D49" s="214"/>
      <c r="E49" s="61"/>
      <c r="F49" s="136">
        <f>F50</f>
        <v>259.77</v>
      </c>
    </row>
    <row r="50" spans="1:6">
      <c r="A50" s="49" t="s">
        <v>523</v>
      </c>
      <c r="B50" s="32" t="s">
        <v>26</v>
      </c>
      <c r="C50" s="46" t="s">
        <v>335</v>
      </c>
      <c r="D50" s="98">
        <f>1/1</f>
        <v>1</v>
      </c>
      <c r="E50" s="61">
        <v>259.77</v>
      </c>
      <c r="F50" s="62">
        <f>E50*D50</f>
        <v>259.77</v>
      </c>
    </row>
    <row r="51" spans="1:6" ht="14.25">
      <c r="A51" s="57" t="s">
        <v>470</v>
      </c>
      <c r="B51" s="110" t="s">
        <v>29</v>
      </c>
      <c r="C51" s="46" t="s">
        <v>335</v>
      </c>
      <c r="D51" s="98">
        <f>1/1</f>
        <v>1</v>
      </c>
      <c r="E51" s="61">
        <v>125.92</v>
      </c>
      <c r="F51" s="136">
        <f>E51*D51</f>
        <v>125.92</v>
      </c>
    </row>
    <row r="52" spans="1:6" ht="14.25">
      <c r="A52" s="57" t="s">
        <v>471</v>
      </c>
      <c r="B52" s="93" t="s">
        <v>256</v>
      </c>
      <c r="C52" s="46" t="s">
        <v>335</v>
      </c>
      <c r="D52" s="98">
        <f>1/1</f>
        <v>1</v>
      </c>
      <c r="E52" s="61">
        <v>166.99</v>
      </c>
      <c r="F52" s="215">
        <f>E52*D52</f>
        <v>166.99</v>
      </c>
    </row>
    <row r="53" spans="1:6" ht="14.25">
      <c r="A53" s="216"/>
      <c r="B53" s="217" t="s">
        <v>300</v>
      </c>
      <c r="C53" s="176"/>
      <c r="D53" s="218"/>
      <c r="E53" s="149"/>
      <c r="F53" s="219">
        <f>загальнос!$F$82</f>
        <v>2396.9836791015505</v>
      </c>
    </row>
    <row r="54" spans="1:6" ht="15.75">
      <c r="A54" s="220" t="s">
        <v>374</v>
      </c>
      <c r="B54" s="221"/>
      <c r="C54" s="32"/>
      <c r="D54" s="32"/>
      <c r="E54" s="32"/>
      <c r="F54" s="172">
        <f>F53+F13</f>
        <v>6199.8735231491701</v>
      </c>
    </row>
    <row r="55" spans="1:6" ht="15.75">
      <c r="A55" s="72" t="s">
        <v>375</v>
      </c>
      <c r="B55" s="73"/>
      <c r="C55" s="74"/>
      <c r="D55" s="74"/>
      <c r="E55" s="74"/>
      <c r="F55" s="174">
        <f>F54/12</f>
        <v>516.65612692909747</v>
      </c>
    </row>
    <row r="56" spans="1:6">
      <c r="E56" s="17"/>
    </row>
  </sheetData>
  <mergeCells count="2">
    <mergeCell ref="A1:F1"/>
    <mergeCell ref="A2:F2"/>
  </mergeCells>
  <phoneticPr fontId="29" type="noConversion"/>
  <pageMargins left="0.6" right="0.28000000000000003" top="0.72" bottom="0.28999999999999998" header="0.38" footer="0.5"/>
  <pageSetup paperSize="9" orientation="portrait" horizontalDpi="360" verticalDpi="360" r:id="rId1"/>
  <headerFooter alignWithMargins="0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Z58"/>
  <sheetViews>
    <sheetView topLeftCell="C40" zoomScale="75" workbookViewId="0">
      <selection activeCell="F55" sqref="F55:F57"/>
    </sheetView>
  </sheetViews>
  <sheetFormatPr defaultRowHeight="12.75"/>
  <cols>
    <col min="1" max="1" width="5.85546875" style="24" customWidth="1"/>
    <col min="2" max="2" width="41.140625" customWidth="1"/>
    <col min="3" max="3" width="8.140625" customWidth="1"/>
    <col min="4" max="4" width="18.28515625" customWidth="1"/>
    <col min="5" max="5" width="10.140625" customWidth="1"/>
    <col min="6" max="6" width="12.140625" bestFit="1" customWidth="1"/>
    <col min="7" max="7" width="5" customWidth="1"/>
    <col min="8" max="8" width="37.140625" customWidth="1"/>
    <col min="9" max="9" width="10.5703125" customWidth="1"/>
    <col min="10" max="10" width="15.42578125" customWidth="1"/>
    <col min="11" max="11" width="10.42578125" customWidth="1"/>
    <col min="12" max="12" width="16.42578125" customWidth="1"/>
    <col min="14" max="14" width="4.140625" customWidth="1"/>
    <col min="15" max="15" width="58.42578125" customWidth="1"/>
    <col min="16" max="16" width="13.28515625" customWidth="1"/>
    <col min="17" max="17" width="17.85546875" customWidth="1"/>
    <col min="18" max="18" width="10.28515625" customWidth="1"/>
    <col min="19" max="19" width="5.7109375" customWidth="1"/>
    <col min="20" max="20" width="50.28515625" customWidth="1"/>
    <col min="21" max="21" width="12.140625" customWidth="1"/>
    <col min="22" max="22" width="19.28515625" customWidth="1"/>
    <col min="24" max="24" width="5.85546875" customWidth="1"/>
    <col min="25" max="25" width="32.5703125" customWidth="1"/>
    <col min="26" max="26" width="17.28515625" customWidth="1"/>
    <col min="27" max="27" width="17.5703125" customWidth="1"/>
    <col min="29" max="29" width="4.85546875" customWidth="1"/>
    <col min="30" max="30" width="45.5703125" customWidth="1"/>
    <col min="31" max="31" width="15.28515625" customWidth="1"/>
    <col min="32" max="32" width="15.42578125" customWidth="1"/>
    <col min="34" max="34" width="5.5703125" customWidth="1"/>
    <col min="35" max="35" width="45.42578125" customWidth="1"/>
    <col min="36" max="36" width="10.85546875" customWidth="1"/>
    <col min="37" max="37" width="16.42578125" customWidth="1"/>
  </cols>
  <sheetData>
    <row r="1" spans="1:6" ht="14.25">
      <c r="A1" s="348" t="s">
        <v>415</v>
      </c>
      <c r="B1" s="348"/>
      <c r="C1" s="348"/>
      <c r="D1" s="348"/>
      <c r="E1" s="348"/>
      <c r="F1" s="348"/>
    </row>
    <row r="2" spans="1:6" ht="14.25">
      <c r="A2" s="349" t="s">
        <v>323</v>
      </c>
      <c r="B2" s="349"/>
      <c r="C2" s="349"/>
      <c r="D2" s="349"/>
      <c r="E2" s="349"/>
      <c r="F2" s="349"/>
    </row>
    <row r="3" spans="1:6">
      <c r="A3" s="222" t="s">
        <v>42</v>
      </c>
      <c r="B3" s="223"/>
      <c r="C3" s="79" t="s">
        <v>92</v>
      </c>
      <c r="D3" s="53" t="s">
        <v>238</v>
      </c>
      <c r="E3" s="81" t="s">
        <v>184</v>
      </c>
      <c r="F3" s="79" t="s">
        <v>107</v>
      </c>
    </row>
    <row r="4" spans="1:6">
      <c r="A4" s="222" t="s">
        <v>373</v>
      </c>
      <c r="B4" s="224" t="s">
        <v>309</v>
      </c>
      <c r="C4" s="79" t="s">
        <v>81</v>
      </c>
      <c r="D4" s="53" t="s">
        <v>240</v>
      </c>
      <c r="E4" s="79" t="s">
        <v>239</v>
      </c>
      <c r="F4" s="79" t="s">
        <v>105</v>
      </c>
    </row>
    <row r="5" spans="1:6">
      <c r="A5" s="225"/>
      <c r="B5" s="224" t="s">
        <v>112</v>
      </c>
      <c r="C5" s="79"/>
      <c r="D5" s="53" t="s">
        <v>241</v>
      </c>
      <c r="E5" s="79" t="s">
        <v>95</v>
      </c>
      <c r="F5" s="79"/>
    </row>
    <row r="6" spans="1:6">
      <c r="A6" s="225"/>
      <c r="B6" s="226"/>
      <c r="C6" s="79"/>
      <c r="D6" s="53" t="s">
        <v>314</v>
      </c>
      <c r="E6" s="79" t="s">
        <v>632</v>
      </c>
      <c r="F6" s="79"/>
    </row>
    <row r="7" spans="1:6">
      <c r="A7" s="225"/>
      <c r="B7" s="227"/>
      <c r="C7" s="79"/>
      <c r="D7" s="53" t="s">
        <v>242</v>
      </c>
      <c r="E7" s="79" t="s">
        <v>669</v>
      </c>
      <c r="F7" s="79"/>
    </row>
    <row r="8" spans="1:6">
      <c r="A8" s="225"/>
      <c r="B8" s="227"/>
      <c r="C8" s="79"/>
      <c r="D8" s="53" t="s">
        <v>243</v>
      </c>
      <c r="E8" s="84"/>
      <c r="F8" s="79"/>
    </row>
    <row r="9" spans="1:6" ht="13.5" customHeight="1">
      <c r="A9" s="225"/>
      <c r="B9" s="227"/>
      <c r="C9" s="79"/>
      <c r="D9" s="228">
        <v>51.4</v>
      </c>
      <c r="E9" s="84"/>
      <c r="F9" s="79"/>
    </row>
    <row r="10" spans="1:6" ht="12.75" customHeight="1">
      <c r="A10" s="229"/>
      <c r="B10" s="230"/>
      <c r="C10" s="123"/>
      <c r="D10" s="231">
        <v>48.6</v>
      </c>
      <c r="E10" s="278" t="s">
        <v>657</v>
      </c>
      <c r="F10" s="123" t="s">
        <v>657</v>
      </c>
    </row>
    <row r="11" spans="1:6" ht="14.25">
      <c r="A11" s="49"/>
      <c r="B11" s="232" t="s">
        <v>301</v>
      </c>
      <c r="C11" s="78"/>
      <c r="D11" s="47"/>
      <c r="E11" s="48"/>
      <c r="F11" s="127">
        <f>F12+F14+F17+F27+F31+F35+F38+F41+F43+F45+F48+F49+F50</f>
        <v>4387.227175</v>
      </c>
    </row>
    <row r="12" spans="1:6" ht="14.25">
      <c r="A12" s="57">
        <v>1</v>
      </c>
      <c r="B12" s="233" t="s">
        <v>10</v>
      </c>
      <c r="C12" s="234"/>
      <c r="D12" s="235"/>
      <c r="E12" s="136"/>
      <c r="F12" s="127">
        <f>F13</f>
        <v>323.95333333333332</v>
      </c>
    </row>
    <row r="13" spans="1:6">
      <c r="A13" s="49" t="s">
        <v>424</v>
      </c>
      <c r="B13" s="236" t="s">
        <v>577</v>
      </c>
      <c r="C13" s="76" t="s">
        <v>88</v>
      </c>
      <c r="D13" s="237">
        <f>1/3</f>
        <v>0.33333333333333331</v>
      </c>
      <c r="E13" s="62">
        <v>971.86</v>
      </c>
      <c r="F13" s="62">
        <f>E13*D13</f>
        <v>323.95333333333332</v>
      </c>
    </row>
    <row r="14" spans="1:6" ht="14.25">
      <c r="A14" s="57" t="s">
        <v>435</v>
      </c>
      <c r="B14" s="233" t="s">
        <v>578</v>
      </c>
      <c r="C14" s="166"/>
      <c r="D14" s="237"/>
      <c r="E14" s="62"/>
      <c r="F14" s="127">
        <f>F15</f>
        <v>323.95333333333332</v>
      </c>
    </row>
    <row r="15" spans="1:6">
      <c r="A15" s="49" t="s">
        <v>494</v>
      </c>
      <c r="B15" s="236" t="s">
        <v>579</v>
      </c>
      <c r="C15" s="76" t="s">
        <v>88</v>
      </c>
      <c r="D15" s="237">
        <f>1/3</f>
        <v>0.33333333333333331</v>
      </c>
      <c r="E15" s="62">
        <v>971.86</v>
      </c>
      <c r="F15" s="62">
        <f>E15*D15</f>
        <v>323.95333333333332</v>
      </c>
    </row>
    <row r="16" spans="1:6">
      <c r="A16" s="49"/>
      <c r="B16" s="236" t="s">
        <v>346</v>
      </c>
      <c r="C16" s="76"/>
      <c r="D16" s="237"/>
      <c r="E16" s="62"/>
      <c r="F16" s="62"/>
    </row>
    <row r="17" spans="1:78" ht="14.25">
      <c r="A17" s="57" t="s">
        <v>436</v>
      </c>
      <c r="B17" s="233" t="s">
        <v>20</v>
      </c>
      <c r="C17" s="166"/>
      <c r="D17" s="237"/>
      <c r="E17" s="62"/>
      <c r="F17" s="127">
        <f>F18+F19+F20+F21+F23+F24+F25+F26</f>
        <v>1082.1641750000001</v>
      </c>
    </row>
    <row r="18" spans="1:78">
      <c r="A18" s="49" t="s">
        <v>478</v>
      </c>
      <c r="B18" s="236" t="s">
        <v>245</v>
      </c>
      <c r="C18" s="76" t="s">
        <v>88</v>
      </c>
      <c r="D18" s="237">
        <f>1/2*$D$10/100</f>
        <v>0.24299999999999999</v>
      </c>
      <c r="E18" s="62">
        <v>449.27</v>
      </c>
      <c r="F18" s="62">
        <f>E18*D18</f>
        <v>109.17260999999999</v>
      </c>
    </row>
    <row r="19" spans="1:78">
      <c r="A19" s="49" t="s">
        <v>479</v>
      </c>
      <c r="B19" s="236" t="s">
        <v>341</v>
      </c>
      <c r="C19" s="76" t="s">
        <v>88</v>
      </c>
      <c r="D19" s="129">
        <f>1/3*$D$10/100</f>
        <v>0.16200000000000001</v>
      </c>
      <c r="E19" s="62">
        <v>296.19</v>
      </c>
      <c r="F19" s="62">
        <f>E19*D19</f>
        <v>47.982779999999998</v>
      </c>
    </row>
    <row r="20" spans="1:78" s="4" customFormat="1" ht="15">
      <c r="A20" s="49" t="s">
        <v>480</v>
      </c>
      <c r="B20" s="236" t="s">
        <v>580</v>
      </c>
      <c r="C20" s="76" t="s">
        <v>88</v>
      </c>
      <c r="D20" s="129">
        <f>1/4*$D$10/100</f>
        <v>0.1215</v>
      </c>
      <c r="E20" s="62">
        <v>187.67</v>
      </c>
      <c r="F20" s="62">
        <f>E20*D20</f>
        <v>22.801904999999998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</row>
    <row r="21" spans="1:78" s="4" customFormat="1" ht="15">
      <c r="A21" s="49" t="s">
        <v>481</v>
      </c>
      <c r="B21" s="236" t="s">
        <v>246</v>
      </c>
      <c r="C21" s="76" t="s">
        <v>88</v>
      </c>
      <c r="D21" s="129">
        <f>3/3*$D$9/100</f>
        <v>0.51400000000000001</v>
      </c>
      <c r="E21" s="62">
        <v>268.33</v>
      </c>
      <c r="F21" s="62">
        <f>E21*D21</f>
        <v>137.92161999999999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</row>
    <row r="22" spans="1:78">
      <c r="A22" s="49"/>
      <c r="B22" s="236" t="s">
        <v>603</v>
      </c>
      <c r="C22" s="76"/>
      <c r="D22" s="129"/>
      <c r="E22" s="62"/>
      <c r="F22" s="62"/>
    </row>
    <row r="23" spans="1:78">
      <c r="A23" s="49" t="s">
        <v>482</v>
      </c>
      <c r="B23" s="236" t="s">
        <v>247</v>
      </c>
      <c r="C23" s="76" t="s">
        <v>88</v>
      </c>
      <c r="D23" s="129">
        <f>1/1.5</f>
        <v>0.66666666666666663</v>
      </c>
      <c r="E23" s="62">
        <v>562.15</v>
      </c>
      <c r="F23" s="62">
        <f>E23*D23</f>
        <v>374.76666666666665</v>
      </c>
    </row>
    <row r="24" spans="1:78">
      <c r="A24" s="49" t="s">
        <v>483</v>
      </c>
      <c r="B24" s="236" t="s">
        <v>23</v>
      </c>
      <c r="C24" s="76" t="s">
        <v>88</v>
      </c>
      <c r="D24" s="129">
        <f>1/2*$D$9/100</f>
        <v>0.25700000000000001</v>
      </c>
      <c r="E24" s="62">
        <v>427.18</v>
      </c>
      <c r="F24" s="62">
        <f>E24*D24</f>
        <v>109.78526000000001</v>
      </c>
    </row>
    <row r="25" spans="1:78">
      <c r="A25" s="49" t="s">
        <v>500</v>
      </c>
      <c r="B25" s="236" t="s">
        <v>376</v>
      </c>
      <c r="C25" s="76" t="s">
        <v>88</v>
      </c>
      <c r="D25" s="129">
        <f>1/3</f>
        <v>0.33333333333333331</v>
      </c>
      <c r="E25" s="62">
        <v>340.36</v>
      </c>
      <c r="F25" s="62">
        <f>E25*D25</f>
        <v>113.45333333333333</v>
      </c>
    </row>
    <row r="26" spans="1:78">
      <c r="A26" s="49" t="s">
        <v>501</v>
      </c>
      <c r="B26" s="236" t="s">
        <v>11</v>
      </c>
      <c r="C26" s="76" t="s">
        <v>88</v>
      </c>
      <c r="D26" s="62">
        <f>1/2</f>
        <v>0.5</v>
      </c>
      <c r="E26" s="62">
        <v>332.56</v>
      </c>
      <c r="F26" s="62">
        <f>E26*D26</f>
        <v>166.28</v>
      </c>
    </row>
    <row r="27" spans="1:78" ht="14.25">
      <c r="A27" s="96" t="s">
        <v>437</v>
      </c>
      <c r="B27" s="68" t="s">
        <v>12</v>
      </c>
      <c r="C27" s="162"/>
      <c r="D27" s="129"/>
      <c r="E27" s="62"/>
      <c r="F27" s="127">
        <f>F28+F29+F30</f>
        <v>433.32799999999997</v>
      </c>
    </row>
    <row r="28" spans="1:78">
      <c r="A28" s="49" t="s">
        <v>438</v>
      </c>
      <c r="B28" s="35" t="s">
        <v>13</v>
      </c>
      <c r="C28" s="46" t="s">
        <v>88</v>
      </c>
      <c r="D28" s="62">
        <f>5/2</f>
        <v>2.5</v>
      </c>
      <c r="E28" s="62">
        <v>38.409999999999997</v>
      </c>
      <c r="F28" s="62">
        <f>E28*D28</f>
        <v>96.024999999999991</v>
      </c>
    </row>
    <row r="29" spans="1:78">
      <c r="A29" s="49" t="s">
        <v>439</v>
      </c>
      <c r="B29" s="35" t="s">
        <v>575</v>
      </c>
      <c r="C29" s="46" t="s">
        <v>88</v>
      </c>
      <c r="D29" s="62">
        <f>5/2</f>
        <v>2.5</v>
      </c>
      <c r="E29" s="62">
        <v>127.21</v>
      </c>
      <c r="F29" s="62">
        <f>E29*D29</f>
        <v>318.02499999999998</v>
      </c>
    </row>
    <row r="30" spans="1:78">
      <c r="A30" s="49" t="s">
        <v>440</v>
      </c>
      <c r="B30" s="35" t="s">
        <v>248</v>
      </c>
      <c r="C30" s="46" t="s">
        <v>88</v>
      </c>
      <c r="D30" s="62">
        <f>1/5</f>
        <v>0.2</v>
      </c>
      <c r="E30" s="62">
        <v>96.39</v>
      </c>
      <c r="F30" s="62">
        <f>E30*D30</f>
        <v>19.278000000000002</v>
      </c>
    </row>
    <row r="31" spans="1:78" ht="14.25">
      <c r="A31" s="57" t="s">
        <v>445</v>
      </c>
      <c r="B31" s="233" t="s">
        <v>14</v>
      </c>
      <c r="C31" s="166"/>
      <c r="D31" s="129"/>
      <c r="E31" s="62"/>
      <c r="F31" s="127">
        <f>F32+F33+F34</f>
        <v>97.298333333333332</v>
      </c>
    </row>
    <row r="32" spans="1:78">
      <c r="A32" s="49" t="s">
        <v>446</v>
      </c>
      <c r="B32" s="236" t="s">
        <v>249</v>
      </c>
      <c r="C32" s="76" t="s">
        <v>88</v>
      </c>
      <c r="D32" s="129">
        <f>3/2*$D$9/100</f>
        <v>0.77099999999999991</v>
      </c>
      <c r="E32" s="62">
        <v>15.63</v>
      </c>
      <c r="F32" s="62">
        <f>E32*D32</f>
        <v>12.05073</v>
      </c>
    </row>
    <row r="33" spans="1:6">
      <c r="A33" s="49" t="s">
        <v>447</v>
      </c>
      <c r="B33" s="236" t="s">
        <v>250</v>
      </c>
      <c r="C33" s="76" t="s">
        <v>88</v>
      </c>
      <c r="D33" s="129">
        <f>3/2*$D$10/100</f>
        <v>0.72900000000000009</v>
      </c>
      <c r="E33" s="62">
        <v>75.63</v>
      </c>
      <c r="F33" s="62">
        <f>E33*D33</f>
        <v>55.134270000000001</v>
      </c>
    </row>
    <row r="34" spans="1:6">
      <c r="A34" s="49" t="s">
        <v>448</v>
      </c>
      <c r="B34" s="236" t="s">
        <v>227</v>
      </c>
      <c r="C34" s="76" t="s">
        <v>88</v>
      </c>
      <c r="D34" s="129">
        <f>1/3</f>
        <v>0.33333333333333331</v>
      </c>
      <c r="E34" s="62">
        <v>90.34</v>
      </c>
      <c r="F34" s="62">
        <f>E34*D34</f>
        <v>30.113333333333333</v>
      </c>
    </row>
    <row r="35" spans="1:6" ht="14.25">
      <c r="A35" s="57" t="s">
        <v>452</v>
      </c>
      <c r="B35" s="233" t="s">
        <v>15</v>
      </c>
      <c r="C35" s="166"/>
      <c r="D35" s="129"/>
      <c r="E35" s="62"/>
      <c r="F35" s="127">
        <f>F36</f>
        <v>53.28</v>
      </c>
    </row>
    <row r="36" spans="1:6">
      <c r="A36" s="49" t="s">
        <v>513</v>
      </c>
      <c r="B36" s="236" t="s">
        <v>251</v>
      </c>
      <c r="C36" s="76" t="s">
        <v>88</v>
      </c>
      <c r="D36" s="129">
        <f>1/3</f>
        <v>0.33333333333333331</v>
      </c>
      <c r="E36" s="62">
        <v>159.84</v>
      </c>
      <c r="F36" s="62">
        <f>E36*D36</f>
        <v>53.28</v>
      </c>
    </row>
    <row r="37" spans="1:6">
      <c r="A37" s="95"/>
      <c r="B37" s="35" t="s">
        <v>264</v>
      </c>
      <c r="C37" s="140"/>
      <c r="D37" s="129"/>
      <c r="E37" s="62"/>
      <c r="F37" s="62"/>
    </row>
    <row r="38" spans="1:6" ht="14.25">
      <c r="A38" s="57" t="s">
        <v>453</v>
      </c>
      <c r="B38" s="110" t="s">
        <v>16</v>
      </c>
      <c r="C38" s="212"/>
      <c r="D38" s="238"/>
      <c r="E38" s="62"/>
      <c r="F38" s="127">
        <f>F39</f>
        <v>11.879999999999999</v>
      </c>
    </row>
    <row r="39" spans="1:6">
      <c r="A39" s="49" t="s">
        <v>454</v>
      </c>
      <c r="B39" s="32" t="s">
        <v>253</v>
      </c>
      <c r="C39" s="46" t="s">
        <v>88</v>
      </c>
      <c r="D39" s="238">
        <f>1/3</f>
        <v>0.33333333333333331</v>
      </c>
      <c r="E39" s="62">
        <v>35.64</v>
      </c>
      <c r="F39" s="62">
        <f>E39*D39</f>
        <v>11.879999999999999</v>
      </c>
    </row>
    <row r="40" spans="1:6">
      <c r="A40" s="95"/>
      <c r="B40" s="35" t="s">
        <v>252</v>
      </c>
      <c r="C40" s="140"/>
      <c r="D40" s="237"/>
      <c r="E40" s="62"/>
      <c r="F40" s="62"/>
    </row>
    <row r="41" spans="1:6" ht="14.25">
      <c r="A41" s="57" t="s">
        <v>458</v>
      </c>
      <c r="B41" s="233" t="s">
        <v>17</v>
      </c>
      <c r="C41" s="166"/>
      <c r="D41" s="237"/>
      <c r="E41" s="62"/>
      <c r="F41" s="127">
        <f>F42</f>
        <v>496.75</v>
      </c>
    </row>
    <row r="42" spans="1:6">
      <c r="A42" s="49" t="s">
        <v>459</v>
      </c>
      <c r="B42" s="236" t="s">
        <v>254</v>
      </c>
      <c r="C42" s="76" t="s">
        <v>335</v>
      </c>
      <c r="D42" s="169">
        <f>1/2</f>
        <v>0.5</v>
      </c>
      <c r="E42" s="62">
        <v>993.5</v>
      </c>
      <c r="F42" s="62">
        <f>E42*D42</f>
        <v>496.75</v>
      </c>
    </row>
    <row r="43" spans="1:6" ht="14.25">
      <c r="A43" s="57" t="s">
        <v>465</v>
      </c>
      <c r="B43" s="233" t="s">
        <v>18</v>
      </c>
      <c r="C43" s="76"/>
      <c r="D43" s="239"/>
      <c r="E43" s="62"/>
      <c r="F43" s="127">
        <f>F44</f>
        <v>200.05500000000001</v>
      </c>
    </row>
    <row r="44" spans="1:6">
      <c r="A44" s="49" t="s">
        <v>486</v>
      </c>
      <c r="B44" s="236" t="s">
        <v>255</v>
      </c>
      <c r="C44" s="76" t="s">
        <v>335</v>
      </c>
      <c r="D44" s="169">
        <f>1/2</f>
        <v>0.5</v>
      </c>
      <c r="E44" s="62">
        <v>400.11</v>
      </c>
      <c r="F44" s="62">
        <f>E44*D44</f>
        <v>200.05500000000001</v>
      </c>
    </row>
    <row r="45" spans="1:6" ht="14.25">
      <c r="A45" s="57" t="s">
        <v>466</v>
      </c>
      <c r="B45" s="233" t="s">
        <v>19</v>
      </c>
      <c r="C45" s="76"/>
      <c r="D45" s="169"/>
      <c r="E45" s="62"/>
      <c r="F45" s="127">
        <f>F46+F47</f>
        <v>671.93499999999995</v>
      </c>
    </row>
    <row r="46" spans="1:6">
      <c r="A46" s="49" t="s">
        <v>467</v>
      </c>
      <c r="B46" s="236" t="s">
        <v>581</v>
      </c>
      <c r="C46" s="76" t="s">
        <v>335</v>
      </c>
      <c r="D46" s="169">
        <f>1/2</f>
        <v>0.5</v>
      </c>
      <c r="E46" s="62">
        <v>647.61</v>
      </c>
      <c r="F46" s="62">
        <f>E46*D46</f>
        <v>323.80500000000001</v>
      </c>
    </row>
    <row r="47" spans="1:6">
      <c r="A47" s="95" t="s">
        <v>468</v>
      </c>
      <c r="B47" s="35" t="s">
        <v>26</v>
      </c>
      <c r="C47" s="46" t="s">
        <v>335</v>
      </c>
      <c r="D47" s="169">
        <f>1/2</f>
        <v>0.5</v>
      </c>
      <c r="E47" s="62">
        <v>696.26</v>
      </c>
      <c r="F47" s="62">
        <f>E47*D47</f>
        <v>348.13</v>
      </c>
    </row>
    <row r="48" spans="1:6" ht="14.25">
      <c r="A48" s="57" t="s">
        <v>469</v>
      </c>
      <c r="B48" s="110" t="s">
        <v>29</v>
      </c>
      <c r="C48" s="46" t="s">
        <v>335</v>
      </c>
      <c r="D48" s="169">
        <f>1/2</f>
        <v>0.5</v>
      </c>
      <c r="E48" s="62">
        <v>125.92</v>
      </c>
      <c r="F48" s="127">
        <f>E48*D48</f>
        <v>62.96</v>
      </c>
    </row>
    <row r="49" spans="1:6" ht="14.25">
      <c r="A49" s="57" t="s">
        <v>470</v>
      </c>
      <c r="B49" s="110" t="s">
        <v>256</v>
      </c>
      <c r="C49" s="46" t="s">
        <v>335</v>
      </c>
      <c r="D49" s="62">
        <f>1/2</f>
        <v>0.5</v>
      </c>
      <c r="E49" s="62">
        <v>166.99</v>
      </c>
      <c r="F49" s="127">
        <f>E49*D49</f>
        <v>83.495000000000005</v>
      </c>
    </row>
    <row r="50" spans="1:6" ht="14.25">
      <c r="A50" s="57" t="s">
        <v>471</v>
      </c>
      <c r="B50" s="68" t="s">
        <v>582</v>
      </c>
      <c r="C50" s="140"/>
      <c r="D50" s="129"/>
      <c r="E50" s="62"/>
      <c r="F50" s="127">
        <f>F51+F52+F53+F54</f>
        <v>546.17500000000007</v>
      </c>
    </row>
    <row r="51" spans="1:6">
      <c r="A51" s="95" t="s">
        <v>524</v>
      </c>
      <c r="B51" s="35" t="s">
        <v>583</v>
      </c>
      <c r="C51" s="46" t="s">
        <v>88</v>
      </c>
      <c r="D51" s="62">
        <f>1/2</f>
        <v>0.5</v>
      </c>
      <c r="E51" s="62">
        <v>244.11</v>
      </c>
      <c r="F51" s="62">
        <f>E51*D51</f>
        <v>122.05500000000001</v>
      </c>
    </row>
    <row r="52" spans="1:6">
      <c r="A52" s="95" t="s">
        <v>525</v>
      </c>
      <c r="B52" s="35" t="s">
        <v>584</v>
      </c>
      <c r="C52" s="46" t="s">
        <v>88</v>
      </c>
      <c r="D52" s="98">
        <f>50/1</f>
        <v>50</v>
      </c>
      <c r="E52" s="62">
        <v>4.82</v>
      </c>
      <c r="F52" s="62">
        <f>E52*D52</f>
        <v>241</v>
      </c>
    </row>
    <row r="53" spans="1:6">
      <c r="A53" s="95" t="s">
        <v>526</v>
      </c>
      <c r="B53" s="54" t="s">
        <v>585</v>
      </c>
      <c r="C53" s="46" t="s">
        <v>88</v>
      </c>
      <c r="D53" s="98">
        <f>10/1</f>
        <v>10</v>
      </c>
      <c r="E53" s="62">
        <v>6.11</v>
      </c>
      <c r="F53" s="62">
        <f>E53*D53</f>
        <v>61.1</v>
      </c>
    </row>
    <row r="54" spans="1:6">
      <c r="A54" s="95" t="s">
        <v>527</v>
      </c>
      <c r="B54" s="54" t="s">
        <v>586</v>
      </c>
      <c r="C54" s="46" t="s">
        <v>88</v>
      </c>
      <c r="D54" s="98">
        <f>2/1</f>
        <v>2</v>
      </c>
      <c r="E54" s="62">
        <v>61.01</v>
      </c>
      <c r="F54" s="62">
        <f>E54*D54</f>
        <v>122.02</v>
      </c>
    </row>
    <row r="55" spans="1:6" ht="15">
      <c r="A55" s="240"/>
      <c r="B55" s="217" t="s">
        <v>299</v>
      </c>
      <c r="C55" s="241"/>
      <c r="D55" s="241"/>
      <c r="E55" s="241"/>
      <c r="F55" s="219">
        <f>загальнос!$F$82</f>
        <v>2396.9836791015505</v>
      </c>
    </row>
    <row r="56" spans="1:6" ht="15">
      <c r="A56" s="65" t="s">
        <v>374</v>
      </c>
      <c r="B56" s="213"/>
      <c r="C56" s="213"/>
      <c r="D56" s="213"/>
      <c r="E56" s="213"/>
      <c r="F56" s="172">
        <f>F55+F11</f>
        <v>6784.2108541015505</v>
      </c>
    </row>
    <row r="57" spans="1:6" ht="15">
      <c r="A57" s="113" t="s">
        <v>375</v>
      </c>
      <c r="B57" s="242"/>
      <c r="C57" s="242"/>
      <c r="D57" s="242"/>
      <c r="E57" s="242"/>
      <c r="F57" s="174">
        <f>F56/12</f>
        <v>565.35090450846258</v>
      </c>
    </row>
    <row r="58" spans="1:6" ht="14.25">
      <c r="A58" s="25"/>
      <c r="B58" s="12"/>
      <c r="C58" s="12"/>
      <c r="D58" s="12"/>
      <c r="E58" s="12"/>
      <c r="F58" s="12"/>
    </row>
  </sheetData>
  <mergeCells count="2">
    <mergeCell ref="A1:F1"/>
    <mergeCell ref="A2:F2"/>
  </mergeCells>
  <phoneticPr fontId="29" type="noConversion"/>
  <pageMargins left="0.51" right="0.28000000000000003" top="0.47" bottom="0.65" header="0.36" footer="0.5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10</vt:i4>
      </vt:variant>
    </vt:vector>
  </HeadingPairs>
  <TitlesOfParts>
    <vt:vector size="25" baseType="lpstr">
      <vt:lpstr>прожитковий</vt:lpstr>
      <vt:lpstr>структура 2014</vt:lpstr>
      <vt:lpstr> 06(проди)</vt:lpstr>
      <vt:lpstr>618(проди)</vt:lpstr>
      <vt:lpstr>прац(проди)</vt:lpstr>
      <vt:lpstr>пенс(проди)</vt:lpstr>
      <vt:lpstr>загальнос</vt:lpstr>
      <vt:lpstr>0-6(непроди)</vt:lpstr>
      <vt:lpstr>6-18(непроди)</vt:lpstr>
      <vt:lpstr>прац(непроди)</vt:lpstr>
      <vt:lpstr>пен(непроди)</vt:lpstr>
      <vt:lpstr>газ</vt:lpstr>
      <vt:lpstr>ком(послуги)</vt:lpstr>
      <vt:lpstr>побутові</vt:lpstr>
      <vt:lpstr>транспорт</vt:lpstr>
      <vt:lpstr>'6-18(непроди)'!Область_печати</vt:lpstr>
      <vt:lpstr>'618(проди)'!Область_печати</vt:lpstr>
      <vt:lpstr>газ!Область_печати</vt:lpstr>
      <vt:lpstr>'ком(послуги)'!Область_печати</vt:lpstr>
      <vt:lpstr>'пенс(проди)'!Область_печати</vt:lpstr>
      <vt:lpstr>побутові!Область_печати</vt:lpstr>
      <vt:lpstr>'прац(непроди)'!Область_печати</vt:lpstr>
      <vt:lpstr>'прац(проди)'!Область_печати</vt:lpstr>
      <vt:lpstr>'структура 2014'!Область_печати</vt:lpstr>
      <vt:lpstr>транспорт!Область_печати</vt:lpstr>
    </vt:vector>
  </TitlesOfParts>
  <Company>MTSP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OUSZN</dc:creator>
  <cp:lastModifiedBy>o.p.kirichenko</cp:lastModifiedBy>
  <cp:lastPrinted>2016-05-16T11:54:04Z</cp:lastPrinted>
  <dcterms:created xsi:type="dcterms:W3CDTF">1999-05-27T08:49:02Z</dcterms:created>
  <dcterms:modified xsi:type="dcterms:W3CDTF">2017-02-17T13:28:40Z</dcterms:modified>
</cp:coreProperties>
</file>