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00" windowHeight="12930" tabRatio="623" firstSheet="9" activeTab="14"/>
  </bookViews>
  <sheets>
    <sheet name="прожитковий" sheetId="21" r:id="rId1"/>
    <sheet name="структура 2016" sheetId="49" r:id="rId2"/>
    <sheet name=" 06(проди)" sheetId="19" r:id="rId3"/>
    <sheet name="618(проди)" sheetId="20" r:id="rId4"/>
    <sheet name="прац(проди)" sheetId="11" r:id="rId5"/>
    <sheet name="пенс(проди)" sheetId="12" r:id="rId6"/>
    <sheet name="загальнос" sheetId="7" r:id="rId7"/>
    <sheet name="0-6(непроди)" sheetId="18" r:id="rId8"/>
    <sheet name="6-18(непроди)" sheetId="17" r:id="rId9"/>
    <sheet name="прац(непроди)" sheetId="14" r:id="rId10"/>
    <sheet name="пен(непроди)" sheetId="13" r:id="rId11"/>
    <sheet name="газ" sheetId="50" r:id="rId12"/>
    <sheet name="ком(послуги)" sheetId="22" r:id="rId13"/>
    <sheet name="побутові" sheetId="26" r:id="rId14"/>
    <sheet name="транспорт" sheetId="25" r:id="rId15"/>
  </sheets>
  <definedNames>
    <definedName name="_xlnm.Print_Area" localSheetId="2">' 06(проди)'!#REF!</definedName>
    <definedName name="_xlnm.Print_Area" localSheetId="7">'0-6(непроди)'!#REF!</definedName>
    <definedName name="_xlnm.Print_Area" localSheetId="8">'6-18(непроди)'!$A$1:$F$57</definedName>
    <definedName name="_xlnm.Print_Area" localSheetId="3">'618(проди)'!$A$1:$F$72</definedName>
    <definedName name="_xlnm.Print_Area" localSheetId="11">газ!$A$1:$F$42</definedName>
    <definedName name="_xlnm.Print_Area" localSheetId="6">загальнос!#REF!</definedName>
    <definedName name="_xlnm.Print_Area" localSheetId="12">'ком(послуги)'!$A$1:$G$46</definedName>
    <definedName name="_xlnm.Print_Area" localSheetId="5">'пенс(проди)'!$A$1:$F$57</definedName>
    <definedName name="_xlnm.Print_Area" localSheetId="13">побутові!$A$1:$L$26</definedName>
    <definedName name="_xlnm.Print_Area" localSheetId="9">'прац(непроди)'!$A$1:$F$75</definedName>
    <definedName name="_xlnm.Print_Area" localSheetId="4">'прац(проди)'!$A$1:$F$58</definedName>
    <definedName name="_xlnm.Print_Area" localSheetId="0">прожитковий!#REF!</definedName>
    <definedName name="_xlnm.Print_Area" localSheetId="1">'структура 2016'!$A$4:$H$29</definedName>
    <definedName name="_xlnm.Print_Area" localSheetId="14">транспорт!$A$1:$K$22</definedName>
  </definedNames>
  <calcPr calcId="125725"/>
</workbook>
</file>

<file path=xl/calcChain.xml><?xml version="1.0" encoding="utf-8"?>
<calcChain xmlns="http://schemas.openxmlformats.org/spreadsheetml/2006/main">
  <c r="E47" i="19"/>
  <c r="E47" i="20"/>
  <c r="E56" i="11"/>
  <c r="E55" i="12"/>
  <c r="E31" l="1"/>
  <c r="G33" i="21" l="1"/>
  <c r="G35"/>
  <c r="G32"/>
  <c r="E32" l="1"/>
  <c r="E27" i="11"/>
  <c r="E65" i="19"/>
  <c r="E64"/>
  <c r="E59"/>
  <c r="E58"/>
  <c r="E57"/>
  <c r="E55"/>
  <c r="E44"/>
  <c r="E35"/>
  <c r="E32"/>
  <c r="E65" i="20"/>
  <c r="F65" s="1"/>
  <c r="E64"/>
  <c r="E59"/>
  <c r="E58"/>
  <c r="E57"/>
  <c r="E55"/>
  <c r="E44"/>
  <c r="F44" s="1"/>
  <c r="E35"/>
  <c r="E32"/>
  <c r="E48" i="11"/>
  <c r="E44"/>
  <c r="E41"/>
  <c r="E33"/>
  <c r="E29"/>
  <c r="E25"/>
  <c r="E24"/>
  <c r="E23"/>
  <c r="E51" i="12"/>
  <c r="E45"/>
  <c r="E42"/>
  <c r="E35"/>
  <c r="E33"/>
  <c r="E29"/>
  <c r="E28"/>
  <c r="E27"/>
  <c r="E42" i="22"/>
  <c r="D23" i="26"/>
  <c r="F31" i="22"/>
  <c r="F9" i="11"/>
  <c r="F10"/>
  <c r="F11"/>
  <c r="F12"/>
  <c r="F13"/>
  <c r="F14"/>
  <c r="F15"/>
  <c r="F16"/>
  <c r="F17"/>
  <c r="F18"/>
  <c r="F19"/>
  <c r="F20"/>
  <c r="F22"/>
  <c r="F23"/>
  <c r="F24"/>
  <c r="F25"/>
  <c r="F27"/>
  <c r="F29"/>
  <c r="F30"/>
  <c r="F32"/>
  <c r="F33"/>
  <c r="F34"/>
  <c r="F37"/>
  <c r="F38"/>
  <c r="F39"/>
  <c r="F40"/>
  <c r="F41"/>
  <c r="F42"/>
  <c r="F43"/>
  <c r="F44"/>
  <c r="F46"/>
  <c r="F47"/>
  <c r="F48"/>
  <c r="F50"/>
  <c r="F51"/>
  <c r="F53"/>
  <c r="F54"/>
  <c r="F55"/>
  <c r="D11" i="7"/>
  <c r="D14"/>
  <c r="F14"/>
  <c r="D18"/>
  <c r="F18"/>
  <c r="D24"/>
  <c r="F24"/>
  <c r="D26"/>
  <c r="D29"/>
  <c r="F29"/>
  <c r="D31"/>
  <c r="D36"/>
  <c r="F36"/>
  <c r="D38"/>
  <c r="D40"/>
  <c r="F40"/>
  <c r="D42"/>
  <c r="D45"/>
  <c r="D47"/>
  <c r="F47"/>
  <c r="D49"/>
  <c r="D56"/>
  <c r="F56"/>
  <c r="D58"/>
  <c r="D61"/>
  <c r="F61"/>
  <c r="D63"/>
  <c r="D65"/>
  <c r="F65"/>
  <c r="D67"/>
  <c r="D71"/>
  <c r="D73"/>
  <c r="D76"/>
  <c r="F76"/>
  <c r="D79"/>
  <c r="F10" i="22"/>
  <c r="G10"/>
  <c r="F24"/>
  <c r="F25"/>
  <c r="G25"/>
  <c r="F14"/>
  <c r="F17"/>
  <c r="G17"/>
  <c r="F20"/>
  <c r="G20"/>
  <c r="F15"/>
  <c r="F18"/>
  <c r="G18"/>
  <c r="F21"/>
  <c r="G21"/>
  <c r="J12" i="25"/>
  <c r="J17"/>
  <c r="K11" i="26"/>
  <c r="K13"/>
  <c r="K14"/>
  <c r="K16"/>
  <c r="K17"/>
  <c r="K18"/>
  <c r="K20"/>
  <c r="K21"/>
  <c r="K23"/>
  <c r="F33" i="22"/>
  <c r="F34"/>
  <c r="G34"/>
  <c r="F36"/>
  <c r="G36"/>
  <c r="F38"/>
  <c r="G38"/>
  <c r="F40"/>
  <c r="G40"/>
  <c r="F42"/>
  <c r="G42"/>
  <c r="F12" i="19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4"/>
  <c r="F35"/>
  <c r="F36"/>
  <c r="F37"/>
  <c r="F38"/>
  <c r="F39"/>
  <c r="F40"/>
  <c r="F41"/>
  <c r="F42"/>
  <c r="F43"/>
  <c r="F44"/>
  <c r="F46"/>
  <c r="F49"/>
  <c r="F50"/>
  <c r="F51"/>
  <c r="F52"/>
  <c r="F53"/>
  <c r="F55"/>
  <c r="F56"/>
  <c r="F57"/>
  <c r="F58"/>
  <c r="F59"/>
  <c r="F60"/>
  <c r="F61"/>
  <c r="F62"/>
  <c r="F64"/>
  <c r="F65"/>
  <c r="F68"/>
  <c r="F69"/>
  <c r="F33" i="18"/>
  <c r="I23" i="26"/>
  <c r="I25"/>
  <c r="I26"/>
  <c r="F12" i="20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4"/>
  <c r="F35"/>
  <c r="F36"/>
  <c r="F37"/>
  <c r="F38"/>
  <c r="F39"/>
  <c r="F40"/>
  <c r="F41"/>
  <c r="F42"/>
  <c r="F43"/>
  <c r="F46"/>
  <c r="F49"/>
  <c r="F50"/>
  <c r="F51"/>
  <c r="F52"/>
  <c r="F53"/>
  <c r="F55"/>
  <c r="F56"/>
  <c r="F57"/>
  <c r="F58"/>
  <c r="F59"/>
  <c r="F60"/>
  <c r="F61"/>
  <c r="F62"/>
  <c r="F64"/>
  <c r="F68"/>
  <c r="F69"/>
  <c r="I12" i="25"/>
  <c r="J16" i="26"/>
  <c r="J23"/>
  <c r="F12" i="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3"/>
  <c r="F34"/>
  <c r="F35"/>
  <c r="F36"/>
  <c r="F39"/>
  <c r="F40"/>
  <c r="F41"/>
  <c r="F42"/>
  <c r="F43"/>
  <c r="F44"/>
  <c r="F45"/>
  <c r="F47"/>
  <c r="F48"/>
  <c r="F50"/>
  <c r="F51"/>
  <c r="F53"/>
  <c r="F54"/>
  <c r="F15" i="13"/>
  <c r="F24"/>
  <c r="F27"/>
  <c r="F29"/>
  <c r="F33"/>
  <c r="F45"/>
  <c r="F48"/>
  <c r="F51"/>
  <c r="F57"/>
  <c r="F61"/>
  <c r="F67"/>
  <c r="L13" i="26"/>
  <c r="L16"/>
  <c r="L18"/>
  <c r="L19"/>
  <c r="L21"/>
  <c r="F70" i="19"/>
  <c r="F67"/>
  <c r="F66"/>
  <c r="F47"/>
  <c r="F45"/>
  <c r="F27" i="50"/>
  <c r="F35" i="11"/>
  <c r="D13" i="14"/>
  <c r="D14"/>
  <c r="D16"/>
  <c r="D17"/>
  <c r="D18"/>
  <c r="D20"/>
  <c r="D21"/>
  <c r="D22"/>
  <c r="D23"/>
  <c r="D25"/>
  <c r="D26"/>
  <c r="D27"/>
  <c r="D28"/>
  <c r="D29"/>
  <c r="D30"/>
  <c r="D31"/>
  <c r="D32"/>
  <c r="D33"/>
  <c r="D35"/>
  <c r="D36"/>
  <c r="D37"/>
  <c r="D38"/>
  <c r="D39"/>
  <c r="D40"/>
  <c r="D41"/>
  <c r="D42"/>
  <c r="D44"/>
  <c r="D45"/>
  <c r="D46"/>
  <c r="D48"/>
  <c r="D49"/>
  <c r="D51"/>
  <c r="D53"/>
  <c r="D55"/>
  <c r="F55"/>
  <c r="D56"/>
  <c r="D59"/>
  <c r="F59"/>
  <c r="D60"/>
  <c r="F60"/>
  <c r="D62"/>
  <c r="D63"/>
  <c r="D65"/>
  <c r="F65"/>
  <c r="D66"/>
  <c r="D67"/>
  <c r="F67"/>
  <c r="D68"/>
  <c r="D69"/>
  <c r="F69"/>
  <c r="D70"/>
  <c r="D71"/>
  <c r="F58" i="7"/>
  <c r="F63"/>
  <c r="C14" i="50"/>
  <c r="F14"/>
  <c r="C17"/>
  <c r="F17"/>
  <c r="F23"/>
  <c r="D34" i="18"/>
  <c r="D32"/>
  <c r="D33"/>
  <c r="F15"/>
  <c r="F14"/>
  <c r="D15"/>
  <c r="D18"/>
  <c r="D20"/>
  <c r="F20"/>
  <c r="D22"/>
  <c r="D24"/>
  <c r="F26"/>
  <c r="D26"/>
  <c r="D27"/>
  <c r="F27"/>
  <c r="D28"/>
  <c r="F28"/>
  <c r="D29"/>
  <c r="D36"/>
  <c r="D37"/>
  <c r="F37"/>
  <c r="D38"/>
  <c r="D40"/>
  <c r="D44"/>
  <c r="D46"/>
  <c r="D48"/>
  <c r="D50"/>
  <c r="D51"/>
  <c r="D52"/>
  <c r="F28" i="17"/>
  <c r="D28"/>
  <c r="F29"/>
  <c r="D29"/>
  <c r="D30"/>
  <c r="F30"/>
  <c r="D32"/>
  <c r="D33"/>
  <c r="D34"/>
  <c r="D36"/>
  <c r="D39"/>
  <c r="D48"/>
  <c r="D49"/>
  <c r="D13"/>
  <c r="F15"/>
  <c r="F14"/>
  <c r="D15"/>
  <c r="D18"/>
  <c r="D19"/>
  <c r="D20"/>
  <c r="D21"/>
  <c r="D23"/>
  <c r="D24"/>
  <c r="D25"/>
  <c r="D26"/>
  <c r="D42"/>
  <c r="F42"/>
  <c r="F41"/>
  <c r="D44"/>
  <c r="D46"/>
  <c r="F46"/>
  <c r="D47"/>
  <c r="D51"/>
  <c r="D52"/>
  <c r="D53"/>
  <c r="D54"/>
  <c r="D19" i="13"/>
  <c r="D18"/>
  <c r="D20"/>
  <c r="D15"/>
  <c r="D16"/>
  <c r="F16"/>
  <c r="D22"/>
  <c r="D23"/>
  <c r="F23"/>
  <c r="D24"/>
  <c r="D25"/>
  <c r="F25"/>
  <c r="D27"/>
  <c r="D28"/>
  <c r="F28"/>
  <c r="D29"/>
  <c r="D30"/>
  <c r="F30"/>
  <c r="D31"/>
  <c r="D32"/>
  <c r="F32"/>
  <c r="D33"/>
  <c r="D34"/>
  <c r="F34"/>
  <c r="D35"/>
  <c r="D37"/>
  <c r="D38"/>
  <c r="D39"/>
  <c r="D40"/>
  <c r="D41"/>
  <c r="D42"/>
  <c r="D44"/>
  <c r="F44"/>
  <c r="D45"/>
  <c r="D46"/>
  <c r="F46"/>
  <c r="D48"/>
  <c r="D49"/>
  <c r="D51"/>
  <c r="D52"/>
  <c r="D54"/>
  <c r="D56"/>
  <c r="F56"/>
  <c r="D57"/>
  <c r="D60"/>
  <c r="F60"/>
  <c r="D61"/>
  <c r="D63"/>
  <c r="D64"/>
  <c r="D66"/>
  <c r="F66"/>
  <c r="D67"/>
  <c r="D68"/>
  <c r="F68"/>
  <c r="D69"/>
  <c r="D70"/>
  <c r="F70"/>
  <c r="D71"/>
  <c r="C32" i="50"/>
  <c r="B14" i="49"/>
  <c r="B16"/>
  <c r="B18"/>
  <c r="B28"/>
  <c r="B21"/>
  <c r="B24"/>
  <c r="G24"/>
  <c r="G26"/>
  <c r="G16"/>
  <c r="G17"/>
  <c r="H16"/>
  <c r="H17"/>
  <c r="C18"/>
  <c r="D18"/>
  <c r="D28"/>
  <c r="H28"/>
  <c r="G21"/>
  <c r="H21"/>
  <c r="G22"/>
  <c r="H22"/>
  <c r="C28"/>
  <c r="F14"/>
  <c r="H24"/>
  <c r="H26"/>
  <c r="G14"/>
  <c r="G15"/>
  <c r="D16" i="7"/>
  <c r="D12"/>
  <c r="F26" i="11"/>
  <c r="F32" i="19"/>
  <c r="F71"/>
  <c r="F72" s="1"/>
  <c r="F71" i="7"/>
  <c r="F79"/>
  <c r="F73"/>
  <c r="F67"/>
  <c r="F49"/>
  <c r="F45"/>
  <c r="F42"/>
  <c r="F38"/>
  <c r="F31"/>
  <c r="F26"/>
  <c r="F16"/>
  <c r="F12"/>
  <c r="F11"/>
  <c r="F22" i="18"/>
  <c r="F51"/>
  <c r="F48"/>
  <c r="F47"/>
  <c r="F44"/>
  <c r="F42"/>
  <c r="F38"/>
  <c r="F52"/>
  <c r="F36"/>
  <c r="F24"/>
  <c r="F19"/>
  <c r="F34"/>
  <c r="F32"/>
  <c r="F50"/>
  <c r="F49"/>
  <c r="F46"/>
  <c r="F45"/>
  <c r="F40"/>
  <c r="F39"/>
  <c r="F29"/>
  <c r="F18"/>
  <c r="F17"/>
  <c r="F47" i="17"/>
  <c r="F44"/>
  <c r="F43"/>
  <c r="F45"/>
  <c r="F53"/>
  <c r="F51"/>
  <c r="F48"/>
  <c r="F39"/>
  <c r="F38"/>
  <c r="F33"/>
  <c r="F25"/>
  <c r="F23"/>
  <c r="F20"/>
  <c r="F18"/>
  <c r="F36"/>
  <c r="F35"/>
  <c r="F54"/>
  <c r="F52"/>
  <c r="F49"/>
  <c r="F34"/>
  <c r="F32"/>
  <c r="F26"/>
  <c r="F24"/>
  <c r="F21"/>
  <c r="F19"/>
  <c r="F13"/>
  <c r="F12"/>
  <c r="F44" i="14"/>
  <c r="F25"/>
  <c r="F68"/>
  <c r="F53"/>
  <c r="F45"/>
  <c r="F33"/>
  <c r="F31"/>
  <c r="F28"/>
  <c r="F26"/>
  <c r="F23"/>
  <c r="F21"/>
  <c r="F13"/>
  <c r="F30"/>
  <c r="F20"/>
  <c r="F70"/>
  <c r="F56"/>
  <c r="F51"/>
  <c r="F32"/>
  <c r="F22"/>
  <c r="F58"/>
  <c r="F66"/>
  <c r="F63"/>
  <c r="F46"/>
  <c r="F27"/>
  <c r="F14"/>
  <c r="F12"/>
  <c r="F71"/>
  <c r="F48"/>
  <c r="F42"/>
  <c r="F40"/>
  <c r="F38"/>
  <c r="F36"/>
  <c r="F18"/>
  <c r="F16"/>
  <c r="F29"/>
  <c r="F62"/>
  <c r="F61"/>
  <c r="F49"/>
  <c r="F41"/>
  <c r="F39"/>
  <c r="F37"/>
  <c r="F35"/>
  <c r="F17"/>
  <c r="F69" i="13"/>
  <c r="F35"/>
  <c r="F22"/>
  <c r="F14"/>
  <c r="F71"/>
  <c r="F64"/>
  <c r="F52"/>
  <c r="F49"/>
  <c r="F42"/>
  <c r="F40"/>
  <c r="F38"/>
  <c r="F20"/>
  <c r="F18"/>
  <c r="F59"/>
  <c r="F63"/>
  <c r="F41"/>
  <c r="F39"/>
  <c r="F37"/>
  <c r="F19"/>
  <c r="F28" i="22"/>
  <c r="F30"/>
  <c r="F29"/>
  <c r="L11" i="26"/>
  <c r="J20"/>
  <c r="J11"/>
  <c r="E14" i="49"/>
  <c r="E16"/>
  <c r="E17"/>
  <c r="E24"/>
  <c r="E26"/>
  <c r="G28"/>
  <c r="E21"/>
  <c r="E22"/>
  <c r="F57" i="14"/>
  <c r="F52"/>
  <c r="F12" i="22"/>
  <c r="G12"/>
  <c r="G14"/>
  <c r="F23"/>
  <c r="G23"/>
  <c r="G24"/>
  <c r="F64" i="14"/>
  <c r="F17" i="13"/>
  <c r="F50" i="17"/>
  <c r="F17"/>
  <c r="J21" i="25"/>
  <c r="J22"/>
  <c r="G30" i="22"/>
  <c r="F47" i="14"/>
  <c r="F43"/>
  <c r="F19"/>
  <c r="F15"/>
  <c r="K12" i="26"/>
  <c r="K25"/>
  <c r="K26"/>
  <c r="J12"/>
  <c r="L12"/>
  <c r="F32" i="22"/>
  <c r="G32"/>
  <c r="G33"/>
  <c r="F13"/>
  <c r="G13"/>
  <c r="G15"/>
  <c r="F65" i="13"/>
  <c r="F43"/>
  <c r="F27" i="17"/>
  <c r="F35" i="18"/>
  <c r="F11" i="50"/>
  <c r="F35"/>
  <c r="F42"/>
  <c r="F62" i="13"/>
  <c r="F47"/>
  <c r="F36"/>
  <c r="F31" i="17"/>
  <c r="F11"/>
  <c r="F31" i="18"/>
  <c r="G31" i="22"/>
  <c r="G29"/>
  <c r="F34" i="14"/>
  <c r="E18" i="49"/>
  <c r="F16"/>
  <c r="F18"/>
  <c r="H14"/>
  <c r="H15"/>
  <c r="L23" i="26"/>
  <c r="L20"/>
  <c r="L17"/>
  <c r="L14"/>
  <c r="F54" i="13"/>
  <c r="F31"/>
  <c r="F21"/>
  <c r="F55" i="12"/>
  <c r="F52"/>
  <c r="F37"/>
  <c r="J21" i="26"/>
  <c r="J18"/>
  <c r="I17" i="25"/>
  <c r="I21"/>
  <c r="I22"/>
  <c r="F70" i="20"/>
  <c r="F67"/>
  <c r="F66"/>
  <c r="F47"/>
  <c r="F45"/>
  <c r="D80" i="7"/>
  <c r="F80"/>
  <c r="D78"/>
  <c r="F78"/>
  <c r="D75"/>
  <c r="F75"/>
  <c r="D72"/>
  <c r="F72"/>
  <c r="D66"/>
  <c r="F66"/>
  <c r="D64"/>
  <c r="F64"/>
  <c r="F68"/>
  <c r="D60"/>
  <c r="F60"/>
  <c r="D57"/>
  <c r="F57"/>
  <c r="F55"/>
  <c r="D50"/>
  <c r="F50"/>
  <c r="D48"/>
  <c r="F48"/>
  <c r="D46"/>
  <c r="F46"/>
  <c r="D41"/>
  <c r="F41"/>
  <c r="D39"/>
  <c r="F39"/>
  <c r="D37"/>
  <c r="F37"/>
  <c r="D35"/>
  <c r="F35"/>
  <c r="D30"/>
  <c r="F30"/>
  <c r="F28"/>
  <c r="D27"/>
  <c r="F27"/>
  <c r="D25"/>
  <c r="F25"/>
  <c r="D23"/>
  <c r="F23"/>
  <c r="D19"/>
  <c r="F19"/>
  <c r="D17"/>
  <c r="F17"/>
  <c r="D15"/>
  <c r="F15"/>
  <c r="D13"/>
  <c r="F13"/>
  <c r="F56" i="11"/>
  <c r="F52"/>
  <c r="F57"/>
  <c r="F58" s="1"/>
  <c r="C32" i="21"/>
  <c r="F10" i="7"/>
  <c r="F51"/>
  <c r="F81"/>
  <c r="F13" i="18"/>
  <c r="F10" i="14"/>
  <c r="J25" i="26"/>
  <c r="J26"/>
  <c r="F58" i="13"/>
  <c r="F53"/>
  <c r="F12"/>
  <c r="F27" i="22"/>
  <c r="G27"/>
  <c r="G28"/>
  <c r="E15" i="49"/>
  <c r="E28"/>
  <c r="F69" i="7"/>
  <c r="F43"/>
  <c r="F62"/>
  <c r="F53"/>
  <c r="F21"/>
  <c r="F33"/>
  <c r="L25" i="26"/>
  <c r="L26"/>
  <c r="F82" i="7"/>
  <c r="F53" i="18"/>
  <c r="F54" s="1"/>
  <c r="F55" s="1"/>
  <c r="F73" i="14"/>
  <c r="F74"/>
  <c r="F75" s="1"/>
  <c r="F72" i="13"/>
  <c r="F73" s="1"/>
  <c r="F74" s="1"/>
  <c r="F55" i="17"/>
  <c r="F56"/>
  <c r="F57" s="1"/>
  <c r="F83" i="7"/>
  <c r="H12" i="21"/>
  <c r="I32"/>
  <c r="I35"/>
  <c r="J12"/>
  <c r="E35"/>
  <c r="F12"/>
  <c r="C35"/>
  <c r="D12"/>
  <c r="H14"/>
  <c r="D14"/>
  <c r="J14"/>
  <c r="F14"/>
  <c r="D17"/>
  <c r="J17"/>
  <c r="F17"/>
  <c r="F71" i="20" l="1"/>
  <c r="F72" s="1"/>
  <c r="F56" i="12"/>
  <c r="F57" s="1"/>
  <c r="F35" i="21"/>
  <c r="J32"/>
  <c r="F32"/>
  <c r="D32"/>
  <c r="F36"/>
  <c r="G36"/>
  <c r="D35"/>
  <c r="J35"/>
  <c r="H17"/>
  <c r="H32" s="1"/>
</calcChain>
</file>

<file path=xl/sharedStrings.xml><?xml version="1.0" encoding="utf-8"?>
<sst xmlns="http://schemas.openxmlformats.org/spreadsheetml/2006/main" count="1909" uniqueCount="669">
  <si>
    <t>Вік</t>
  </si>
  <si>
    <t xml:space="preserve">чоловіки </t>
  </si>
  <si>
    <t>і жінки</t>
  </si>
  <si>
    <t>Особи працездатного</t>
  </si>
  <si>
    <t>віку</t>
  </si>
  <si>
    <t xml:space="preserve"> Чоловік</t>
  </si>
  <si>
    <t>чоловіки</t>
  </si>
  <si>
    <t>жінки</t>
  </si>
  <si>
    <t>№</t>
  </si>
  <si>
    <t>Кількість</t>
  </si>
  <si>
    <t>Верхній зимовий одяг</t>
  </si>
  <si>
    <t>Спортивний костюм</t>
  </si>
  <si>
    <t>Натільна білизна</t>
  </si>
  <si>
    <t>Труси</t>
  </si>
  <si>
    <t>Панчішно-шкарпеткові вироби</t>
  </si>
  <si>
    <t>Головні убори</t>
  </si>
  <si>
    <t>Галантерейні вироби</t>
  </si>
  <si>
    <t>Взуття зимове</t>
  </si>
  <si>
    <t>Взуття осінньо-весняне</t>
  </si>
  <si>
    <t>Взуття літнє та спортивне</t>
  </si>
  <si>
    <t>Костюм (сукня)</t>
  </si>
  <si>
    <t>Комбінація</t>
  </si>
  <si>
    <t>Бюстгалтер</t>
  </si>
  <si>
    <t>Брюки  для хлопчиків із джинсової тканини</t>
  </si>
  <si>
    <t>Піжама</t>
  </si>
  <si>
    <t>Колготки</t>
  </si>
  <si>
    <t>Туфлі</t>
  </si>
  <si>
    <t>Шкарпетки</t>
  </si>
  <si>
    <t>Кросове взуття</t>
  </si>
  <si>
    <t>Домашнє взуття</t>
  </si>
  <si>
    <t>Сорочка нічна</t>
  </si>
  <si>
    <t>Подушка</t>
  </si>
  <si>
    <t>Наволочка</t>
  </si>
  <si>
    <t>Предмети першої потреби</t>
  </si>
  <si>
    <t>Предмети санітарії та ліки</t>
  </si>
  <si>
    <t>Посуд</t>
  </si>
  <si>
    <t>Чайник</t>
  </si>
  <si>
    <t>Побутові прилади</t>
  </si>
  <si>
    <t>Електропраска</t>
  </si>
  <si>
    <t>Меблі</t>
  </si>
  <si>
    <t>Шафа для одягу</t>
  </si>
  <si>
    <t>Стілець</t>
  </si>
  <si>
    <t xml:space="preserve">№ </t>
  </si>
  <si>
    <t>Картопля</t>
  </si>
  <si>
    <t>Овочі та баштанні</t>
  </si>
  <si>
    <t>М'ясопродукти</t>
  </si>
  <si>
    <t>Бобові</t>
  </si>
  <si>
    <t>Рис</t>
  </si>
  <si>
    <t>Хліб пшеничний</t>
  </si>
  <si>
    <t>Хліб житній</t>
  </si>
  <si>
    <t>Макаронні вироби</t>
  </si>
  <si>
    <t>Баштанні</t>
  </si>
  <si>
    <t>Капуста</t>
  </si>
  <si>
    <t>Інші</t>
  </si>
  <si>
    <t>Сухофрукти</t>
  </si>
  <si>
    <t>Яловичина</t>
  </si>
  <si>
    <t>Свинина</t>
  </si>
  <si>
    <t>Баранина</t>
  </si>
  <si>
    <t>Сало</t>
  </si>
  <si>
    <t>Молоко незбиране</t>
  </si>
  <si>
    <t>Масло вершкове</t>
  </si>
  <si>
    <t>Сир</t>
  </si>
  <si>
    <t>Сметана</t>
  </si>
  <si>
    <t>Сир твердий</t>
  </si>
  <si>
    <t>Риба свіжа</t>
  </si>
  <si>
    <t>Оселедці</t>
  </si>
  <si>
    <t>Фрукти і ягоди</t>
  </si>
  <si>
    <t>Маргарин</t>
  </si>
  <si>
    <t>Олія</t>
  </si>
  <si>
    <t>Сіль</t>
  </si>
  <si>
    <t>Чай</t>
  </si>
  <si>
    <t>Плащ чоловічий</t>
  </si>
  <si>
    <t>Плащ жіночий</t>
  </si>
  <si>
    <t>Брюки чоловічі  із напіввовняної тканини</t>
  </si>
  <si>
    <t>Сукня жіноча із напіввовняної тканини</t>
  </si>
  <si>
    <t>Сукня жіноча із бавовняної тканини</t>
  </si>
  <si>
    <t>Халат жіночий</t>
  </si>
  <si>
    <t>Чоловічі труси</t>
  </si>
  <si>
    <t>Жіночі труси</t>
  </si>
  <si>
    <t>Текстильні вироби (білизна)</t>
  </si>
  <si>
    <t>Діти</t>
  </si>
  <si>
    <t>виміру</t>
  </si>
  <si>
    <t>Електроенергія</t>
  </si>
  <si>
    <t xml:space="preserve">Зубна щітка </t>
  </si>
  <si>
    <t xml:space="preserve">Одеколон </t>
  </si>
  <si>
    <t>Гребінка</t>
  </si>
  <si>
    <t>Санітарно-гігієнічні вироби з паперу</t>
  </si>
  <si>
    <t>кг</t>
  </si>
  <si>
    <t>штук</t>
  </si>
  <si>
    <t>упаковка</t>
  </si>
  <si>
    <t>-</t>
  </si>
  <si>
    <t>0-5 років</t>
  </si>
  <si>
    <t xml:space="preserve">Одиниця </t>
  </si>
  <si>
    <t>6-17 років</t>
  </si>
  <si>
    <t>Ціна покупки</t>
  </si>
  <si>
    <t>фактична</t>
  </si>
  <si>
    <t>%</t>
  </si>
  <si>
    <t xml:space="preserve">Обсяги споживання </t>
  </si>
  <si>
    <t>(у середньому на одного</t>
  </si>
  <si>
    <t xml:space="preserve">Найменування продуктів </t>
  </si>
  <si>
    <t>пенсіонера на рік,</t>
  </si>
  <si>
    <t>в т.ч. чоловіки, жінки у %)</t>
  </si>
  <si>
    <t>Назва товарів</t>
  </si>
  <si>
    <t>Одиниця</t>
  </si>
  <si>
    <t xml:space="preserve">Обсяг </t>
  </si>
  <si>
    <t>споживання</t>
  </si>
  <si>
    <t>Вартість</t>
  </si>
  <si>
    <t xml:space="preserve">Вартість </t>
  </si>
  <si>
    <t>Питома</t>
  </si>
  <si>
    <t>вага</t>
  </si>
  <si>
    <t>Вартість продуктів харчування</t>
  </si>
  <si>
    <t>Вартість  непродовольчих</t>
  </si>
  <si>
    <t>товарів</t>
  </si>
  <si>
    <t>Транспортні послуги</t>
  </si>
  <si>
    <t>для осіб, які</t>
  </si>
  <si>
    <t>втратили праце-</t>
  </si>
  <si>
    <t>здатність</t>
  </si>
  <si>
    <t>Ковдра напіввовняна</t>
  </si>
  <si>
    <t>Люстра</t>
  </si>
  <si>
    <t>Борошно житнє</t>
  </si>
  <si>
    <t>Борошно пшеничне</t>
  </si>
  <si>
    <t>Манна крупа</t>
  </si>
  <si>
    <t>Пшоно</t>
  </si>
  <si>
    <t>Гречана крупа</t>
  </si>
  <si>
    <t>Вівсяна крупа</t>
  </si>
  <si>
    <t xml:space="preserve">Цибуля, часник </t>
  </si>
  <si>
    <t>Субпродукти та інші</t>
  </si>
  <si>
    <t xml:space="preserve">Товари індивідуального </t>
  </si>
  <si>
    <t>використання</t>
  </si>
  <si>
    <t>Дзеркало для ванної кімнати</t>
  </si>
  <si>
    <t>(в середньому на одну людину в рік)</t>
  </si>
  <si>
    <t>Користування житлом</t>
  </si>
  <si>
    <t>водовідведення</t>
  </si>
  <si>
    <t>Теплопостачання</t>
  </si>
  <si>
    <t xml:space="preserve">Цукор </t>
  </si>
  <si>
    <t xml:space="preserve">куб.метр </t>
  </si>
  <si>
    <t>Придбання газет та журналів</t>
  </si>
  <si>
    <t>Розмови місцевого телефонного</t>
  </si>
  <si>
    <t>Листування в межах України</t>
  </si>
  <si>
    <t>Радіоточка</t>
  </si>
  <si>
    <t>Телеантена</t>
  </si>
  <si>
    <t>Види побутових</t>
  </si>
  <si>
    <t>послуг</t>
  </si>
  <si>
    <t>Ремонт взуття</t>
  </si>
  <si>
    <t>Ремонт телевізорів</t>
  </si>
  <si>
    <t>Ремонт годинників</t>
  </si>
  <si>
    <t>Послуги лазень і душів</t>
  </si>
  <si>
    <t>Фотопослуги</t>
  </si>
  <si>
    <t>Перукарські послуги</t>
  </si>
  <si>
    <t>пара взуття</t>
  </si>
  <si>
    <t>телевізор</t>
  </si>
  <si>
    <t>годинник</t>
  </si>
  <si>
    <t xml:space="preserve">одиниця </t>
  </si>
  <si>
    <t>одиниця одягу</t>
  </si>
  <si>
    <t>чол/відвідувань</t>
  </si>
  <si>
    <t>замовлення</t>
  </si>
  <si>
    <t>на документи</t>
  </si>
  <si>
    <t xml:space="preserve">стрижка </t>
  </si>
  <si>
    <t>волосся</t>
  </si>
  <si>
    <t>віком до</t>
  </si>
  <si>
    <t>6 років</t>
  </si>
  <si>
    <t>віком від</t>
  </si>
  <si>
    <t>до 18 років</t>
  </si>
  <si>
    <t>Працездатні</t>
  </si>
  <si>
    <t>особи</t>
  </si>
  <si>
    <t>Особи, які</t>
  </si>
  <si>
    <t>втратили</t>
  </si>
  <si>
    <t>праце-</t>
  </si>
  <si>
    <t>(діти</t>
  </si>
  <si>
    <t>6 років)</t>
  </si>
  <si>
    <t>до 18 років)</t>
  </si>
  <si>
    <t>(працездатні</t>
  </si>
  <si>
    <t>особи)</t>
  </si>
  <si>
    <t>(особи, які</t>
  </si>
  <si>
    <t>здатність)</t>
  </si>
  <si>
    <t>хвилин</t>
  </si>
  <si>
    <t>Побутові послуги</t>
  </si>
  <si>
    <t>на одну особу</t>
  </si>
  <si>
    <t>на рік</t>
  </si>
  <si>
    <t xml:space="preserve">театрів, кінотеатрів, </t>
  </si>
  <si>
    <t>сімей</t>
  </si>
  <si>
    <t>(тис.)</t>
  </si>
  <si>
    <t>Норма</t>
  </si>
  <si>
    <t>на місяць</t>
  </si>
  <si>
    <t xml:space="preserve">Ціна </t>
  </si>
  <si>
    <t>в т.ч.</t>
  </si>
  <si>
    <t>централізованого гарячого</t>
  </si>
  <si>
    <t>водопостачання</t>
  </si>
  <si>
    <t>водонагрівача</t>
  </si>
  <si>
    <t>Для споживачів з індивідуальним</t>
  </si>
  <si>
    <t>опаленням у будинках не вище</t>
  </si>
  <si>
    <t>двох поверхів</t>
  </si>
  <si>
    <t>(куб.м на</t>
  </si>
  <si>
    <t>автомобільним, електричним</t>
  </si>
  <si>
    <t>транспортом та метрополітеном</t>
  </si>
  <si>
    <t>автомобільним та залізничним</t>
  </si>
  <si>
    <t>транспортом</t>
  </si>
  <si>
    <t>одну особу  на місяць</t>
  </si>
  <si>
    <t>місяць)</t>
  </si>
  <si>
    <t>опалення</t>
  </si>
  <si>
    <t>гаряча вода</t>
  </si>
  <si>
    <t xml:space="preserve">Водопостачання </t>
  </si>
  <si>
    <t>оплата житла</t>
  </si>
  <si>
    <t>теплопостачання</t>
  </si>
  <si>
    <t>електроенергія</t>
  </si>
  <si>
    <t>газопостачання</t>
  </si>
  <si>
    <t>витрат</t>
  </si>
  <si>
    <t xml:space="preserve"> та пральних машин</t>
  </si>
  <si>
    <t>Ремонт холодильників</t>
  </si>
  <si>
    <t>Вартість товарів загальносімейного користування</t>
  </si>
  <si>
    <t xml:space="preserve">Шапка, шарф із вовняної, напіввовняної </t>
  </si>
  <si>
    <t>комплект</t>
  </si>
  <si>
    <t xml:space="preserve">та синтетичної пряжі </t>
  </si>
  <si>
    <t>Чоловічі черевики осінні</t>
  </si>
  <si>
    <t xml:space="preserve">плитою газовою: </t>
  </si>
  <si>
    <t>гарячого водопостачання</t>
  </si>
  <si>
    <t xml:space="preserve">водопостачання та газового </t>
  </si>
  <si>
    <t>плитою газовою та</t>
  </si>
  <si>
    <t>водонагрівачем</t>
  </si>
  <si>
    <t>Субпродукти</t>
  </si>
  <si>
    <t>Ковбасні вироби</t>
  </si>
  <si>
    <t>Молокопродукти</t>
  </si>
  <si>
    <t>Птиця домашня</t>
  </si>
  <si>
    <t>Рибопродукти</t>
  </si>
  <si>
    <t>Молоко збиране, кефір</t>
  </si>
  <si>
    <t>Костюм чоловічий двійка</t>
  </si>
  <si>
    <t>працездатного на рік,</t>
  </si>
  <si>
    <t>Рейтузи</t>
  </si>
  <si>
    <t>Хустка напіввовняна</t>
  </si>
  <si>
    <t>Хустка бавовняна</t>
  </si>
  <si>
    <t>Рукавиці із вовняної, напіввовняної</t>
  </si>
  <si>
    <t>Краватка</t>
  </si>
  <si>
    <t>Електробритва</t>
  </si>
  <si>
    <t>Чайний сервіз (6 персон)</t>
  </si>
  <si>
    <t>Холодильник (однокамерний)</t>
  </si>
  <si>
    <t>Телевізор (51 см по діагоналі)</t>
  </si>
  <si>
    <t>Пральна машина (типу "Малютка")</t>
  </si>
  <si>
    <t>Настільна лампа</t>
  </si>
  <si>
    <t>Обсяг споживання</t>
  </si>
  <si>
    <t>покупки</t>
  </si>
  <si>
    <t xml:space="preserve">в середньому </t>
  </si>
  <si>
    <t>на 1 дитину на рік</t>
  </si>
  <si>
    <t>статі в % віком</t>
  </si>
  <si>
    <t>від 6 до18 років</t>
  </si>
  <si>
    <t>тканини</t>
  </si>
  <si>
    <t xml:space="preserve">Сукня для дівчаток </t>
  </si>
  <si>
    <t xml:space="preserve">Сорочки для хлопчиків із бавовняної </t>
  </si>
  <si>
    <t>Шкільна форма</t>
  </si>
  <si>
    <t>Купальник (плавки)</t>
  </si>
  <si>
    <t xml:space="preserve">Шкарпетки </t>
  </si>
  <si>
    <t xml:space="preserve">Колготки </t>
  </si>
  <si>
    <t xml:space="preserve">Шапка, шарф із вовняної, напівовняної </t>
  </si>
  <si>
    <t>та синтетичної пряжі</t>
  </si>
  <si>
    <t xml:space="preserve">Рукавиці із вовняної, напівовняної </t>
  </si>
  <si>
    <t>Чоботи утеплені</t>
  </si>
  <si>
    <t xml:space="preserve">Черевики, напівчеревики </t>
  </si>
  <si>
    <t>Гумове взуття</t>
  </si>
  <si>
    <t>від 0 до 6 років</t>
  </si>
  <si>
    <t xml:space="preserve">Шуба із штучного хутра або </t>
  </si>
  <si>
    <t>пальто зимове</t>
  </si>
  <si>
    <t xml:space="preserve">Сукня для дівчаток із </t>
  </si>
  <si>
    <t>напіввовняної тканини</t>
  </si>
  <si>
    <t xml:space="preserve">Брюки для хлопчиків із напіввовняної </t>
  </si>
  <si>
    <t>Гарнітур для новонароджених</t>
  </si>
  <si>
    <t>та синтетичної пряжі (комплект)</t>
  </si>
  <si>
    <t xml:space="preserve">Рукавички із вовняної, напівовняної </t>
  </si>
  <si>
    <t>Інші крупи</t>
  </si>
  <si>
    <t>Крохмаль</t>
  </si>
  <si>
    <t xml:space="preserve">Помідори </t>
  </si>
  <si>
    <t>Огірки</t>
  </si>
  <si>
    <t xml:space="preserve">Морква </t>
  </si>
  <si>
    <t>Цибуля</t>
  </si>
  <si>
    <t>Інші овочі і баштанні</t>
  </si>
  <si>
    <t>Яблука</t>
  </si>
  <si>
    <t>Ягоди та виноград</t>
  </si>
  <si>
    <t>Кісточкові</t>
  </si>
  <si>
    <t>Груші</t>
  </si>
  <si>
    <t>Інші фрукти та горіхи</t>
  </si>
  <si>
    <t>літри</t>
  </si>
  <si>
    <t>Яловичина, баранина, телятина</t>
  </si>
  <si>
    <t>Свинина пісна</t>
  </si>
  <si>
    <t>Ковбаса варена, сосиски, сардельки</t>
  </si>
  <si>
    <t>Балик м'ясний, шинка, карбонат</t>
  </si>
  <si>
    <t>Субпродукти(печінка, язик, мозок)</t>
  </si>
  <si>
    <t>Кисломолочні напої</t>
  </si>
  <si>
    <t>Риба свіжа, свіжоморожена</t>
  </si>
  <si>
    <t>Цукор</t>
  </si>
  <si>
    <t>Кондитерські вироби</t>
  </si>
  <si>
    <t>Мед</t>
  </si>
  <si>
    <t>Какао</t>
  </si>
  <si>
    <t>Дріжджі</t>
  </si>
  <si>
    <t>Спеції (лавровий лист)</t>
  </si>
  <si>
    <t>Морква</t>
  </si>
  <si>
    <t>Субпродукти (печінка, язик, мозок)</t>
  </si>
  <si>
    <t>коеф.сімейності</t>
  </si>
  <si>
    <t>цирків, музичних установ, покупка книг)</t>
  </si>
  <si>
    <t>Спідниця із вовняної та напіввовняної тканини</t>
  </si>
  <si>
    <t>Куртка чоловіча на синтапоні</t>
  </si>
  <si>
    <t>Ремонт одягу</t>
  </si>
  <si>
    <t>Товари загальносімейного користування</t>
  </si>
  <si>
    <t xml:space="preserve">Товари  загальносімейного користування </t>
  </si>
  <si>
    <t>Товари індивідуального використання</t>
  </si>
  <si>
    <t xml:space="preserve">Найменування непродовольчих </t>
  </si>
  <si>
    <t>Найменування продуктів</t>
  </si>
  <si>
    <t>харчування</t>
  </si>
  <si>
    <t xml:space="preserve">Найменування </t>
  </si>
  <si>
    <t>непродовольчих</t>
  </si>
  <si>
    <t xml:space="preserve">товарів </t>
  </si>
  <si>
    <t>Найменування продуктів харчування</t>
  </si>
  <si>
    <t>Найменування непродовольчих</t>
  </si>
  <si>
    <t>Ремонт житла (матеріали)</t>
  </si>
  <si>
    <t>Послуги пралень</t>
  </si>
  <si>
    <t>Молоко з малим вмістом жиру</t>
  </si>
  <si>
    <t>Обсяги споживання</t>
  </si>
  <si>
    <t xml:space="preserve"> в т.ч. чоловічої та жіночої</t>
  </si>
  <si>
    <t>Хлібопродукти</t>
  </si>
  <si>
    <t xml:space="preserve">Загальна кількість сімей </t>
  </si>
  <si>
    <t>по Україні</t>
  </si>
  <si>
    <t>Розрахунок вартості газопостачання в  середньому</t>
  </si>
  <si>
    <t>на одну особу на місяць</t>
  </si>
  <si>
    <t xml:space="preserve"> за наявності централізованого</t>
  </si>
  <si>
    <t>Сир м'який</t>
  </si>
  <si>
    <t xml:space="preserve">які втратили працездатність  </t>
  </si>
  <si>
    <t xml:space="preserve">віком від 6 до 18 років </t>
  </si>
  <si>
    <t xml:space="preserve">Хлібопродукти  </t>
  </si>
  <si>
    <t>Соки плодово-ягідні та овочеві</t>
  </si>
  <si>
    <t xml:space="preserve">Брюки чоловічі із джинсової </t>
  </si>
  <si>
    <t>або бавовняної тканини</t>
  </si>
  <si>
    <t>Купальник</t>
  </si>
  <si>
    <t>Плавки чоловічі</t>
  </si>
  <si>
    <t>Ковдра синтапонова</t>
  </si>
  <si>
    <t>Стіл письмовий (однотумбовий)</t>
  </si>
  <si>
    <t>Засоби гігієни</t>
  </si>
  <si>
    <t xml:space="preserve"> кг</t>
  </si>
  <si>
    <t>Дитячий крем (тюбик)</t>
  </si>
  <si>
    <t>пар</t>
  </si>
  <si>
    <t>Брюки чоловічі із джинсової або</t>
  </si>
  <si>
    <t>бавовняної тканини</t>
  </si>
  <si>
    <t>Товари  загальносімейного користування</t>
  </si>
  <si>
    <t>Чоловічий кашкет із вовняної тканини</t>
  </si>
  <si>
    <t>Туфлі  чоловічі</t>
  </si>
  <si>
    <t>Блузка</t>
  </si>
  <si>
    <t xml:space="preserve">Блузка </t>
  </si>
  <si>
    <t>Туфлі чоловічі</t>
  </si>
  <si>
    <t>Куртка на синтапоні</t>
  </si>
  <si>
    <t>Брюки для хлопчиків із джинсової тканини</t>
  </si>
  <si>
    <t>синтетичної тканини</t>
  </si>
  <si>
    <t>Вартість мінімального набору побутових послуг</t>
  </si>
  <si>
    <t>Поїздки міським</t>
  </si>
  <si>
    <t>Поїздки приміським</t>
  </si>
  <si>
    <t>Цукор, конд.вироби</t>
  </si>
  <si>
    <t xml:space="preserve">Яйця </t>
  </si>
  <si>
    <t>Яйця</t>
  </si>
  <si>
    <t>Столові прибори :</t>
  </si>
  <si>
    <t xml:space="preserve">коеф. сімейності </t>
  </si>
  <si>
    <t>зв"язку</t>
  </si>
  <si>
    <t>для дітей віком</t>
  </si>
  <si>
    <t>від 6 до 18 років</t>
  </si>
  <si>
    <t>для  праце-</t>
  </si>
  <si>
    <t>здатних</t>
  </si>
  <si>
    <t xml:space="preserve"> (на місяць)</t>
  </si>
  <si>
    <t>Інші (6%)</t>
  </si>
  <si>
    <t>Інші (0,7%)</t>
  </si>
  <si>
    <t>Інші (8%)</t>
  </si>
  <si>
    <t>Рукавички із вовняної, напіввовняної</t>
  </si>
  <si>
    <t xml:space="preserve">до загальної </t>
  </si>
  <si>
    <t xml:space="preserve">до відповідної </t>
  </si>
  <si>
    <t>чисельності</t>
  </si>
  <si>
    <t>соціально-</t>
  </si>
  <si>
    <t>населення</t>
  </si>
  <si>
    <t>демографічної групи</t>
  </si>
  <si>
    <t xml:space="preserve">Питома вага </t>
  </si>
  <si>
    <t>Питома вага</t>
  </si>
  <si>
    <t>з/п</t>
  </si>
  <si>
    <t>Усього на рік</t>
  </si>
  <si>
    <t>Усього на місяць</t>
  </si>
  <si>
    <t>Джемпер, светр</t>
  </si>
  <si>
    <t>Вартість усього набору на рік</t>
  </si>
  <si>
    <t>Вартість усього набору на місяць</t>
  </si>
  <si>
    <t>Усього в середньому на</t>
  </si>
  <si>
    <t>Простирадло</t>
  </si>
  <si>
    <t>Рушник простий</t>
  </si>
  <si>
    <t>Рушник махровий</t>
  </si>
  <si>
    <t>Тарілка</t>
  </si>
  <si>
    <t>Сковорода</t>
  </si>
  <si>
    <t>Ложка</t>
  </si>
  <si>
    <t>Виделка</t>
  </si>
  <si>
    <t>Ніж</t>
  </si>
  <si>
    <t xml:space="preserve">Годинник будь- якого виду </t>
  </si>
  <si>
    <t>Набір для кухні</t>
  </si>
  <si>
    <t>Ліжко або диван</t>
  </si>
  <si>
    <t>Мило туалетне (масою 100г)</t>
  </si>
  <si>
    <t>Мило господарське (масою 250г)</t>
  </si>
  <si>
    <t>(пакування 500 г)</t>
  </si>
  <si>
    <t>Шампунь (пакування 250г)</t>
  </si>
  <si>
    <t>Крем для взуття (пакування 50г)</t>
  </si>
  <si>
    <t>Зубна паста (пакування 75г)</t>
  </si>
  <si>
    <t>Вата (пакування 1 кг)</t>
  </si>
  <si>
    <t>Бинт (пакування 5смх10м)</t>
  </si>
  <si>
    <t>пляшечка</t>
  </si>
  <si>
    <t xml:space="preserve">Прожитковий мінімум в середньому на одну особу на місяць </t>
  </si>
  <si>
    <t>та для осіб, які відносяться до основних соціальних і демографічних груп населення</t>
  </si>
  <si>
    <t>грн.</t>
  </si>
  <si>
    <t>Прожитковий</t>
  </si>
  <si>
    <t>мінімум</t>
  </si>
  <si>
    <t>Вартість набору послуг</t>
  </si>
  <si>
    <t>Житлово-комунальні послуги</t>
  </si>
  <si>
    <t>Послуги зв'язку</t>
  </si>
  <si>
    <t>Послуги культури</t>
  </si>
  <si>
    <t>з\п</t>
  </si>
  <si>
    <t>Вартість набору продуктів харчування для дітей</t>
  </si>
  <si>
    <t>Буряки</t>
  </si>
  <si>
    <t>Цитрусові та інші тропічні плоди</t>
  </si>
  <si>
    <t>Ковбаса напівкопчена</t>
  </si>
  <si>
    <t>Вартість набору продуктів харчування  для дітей</t>
  </si>
  <si>
    <t>Вартість мінімального набору непродовольчих товарів для дітей</t>
  </si>
  <si>
    <t xml:space="preserve">для  працездатних осіб </t>
  </si>
  <si>
    <t>Вартість мінімального набору непродовольчих товарів  для осіб,</t>
  </si>
  <si>
    <t>Вартість набору продуктів харчування для осіб, які втратили</t>
  </si>
  <si>
    <t>працездатність</t>
  </si>
  <si>
    <t>Вартість транспортних  послуг</t>
  </si>
  <si>
    <t>у тому числі</t>
  </si>
  <si>
    <t>Усього дітей</t>
  </si>
  <si>
    <t>Усього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</si>
  <si>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</si>
  <si>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</si>
  <si>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</si>
  <si>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</si>
  <si>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</si>
  <si>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</si>
  <si>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</si>
  <si>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</si>
  <si>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</si>
  <si>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</si>
  <si>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</si>
  <si>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</t>
  </si>
  <si>
    <t>3</t>
  </si>
  <si>
    <t>4</t>
  </si>
  <si>
    <t>4.1</t>
  </si>
  <si>
    <t>4.2</t>
  </si>
  <si>
    <t>4.3</t>
  </si>
  <si>
    <t>4.4</t>
  </si>
  <si>
    <t>4.5</t>
  </si>
  <si>
    <t>4.6</t>
  </si>
  <si>
    <t>4.7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</si>
  <si>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</si>
  <si>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</si>
  <si>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</si>
  <si>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</si>
  <si>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</si>
  <si>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</si>
  <si>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</si>
  <si>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</si>
  <si>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</si>
  <si>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7.1</t>
  </si>
  <si>
    <t>7.2</t>
  </si>
  <si>
    <t>7.3</t>
  </si>
  <si>
    <t>7.4</t>
  </si>
  <si>
    <t>8</t>
  </si>
  <si>
    <t>8.1</t>
  </si>
  <si>
    <t>8.2</t>
  </si>
  <si>
    <t>8.3</t>
  </si>
  <si>
    <t>8.4</t>
  </si>
  <si>
    <t>8.5</t>
  </si>
  <si>
    <t>8.6</t>
  </si>
  <si>
    <t>9</t>
  </si>
  <si>
    <t>10</t>
  </si>
  <si>
    <t>10.1</t>
  </si>
  <si>
    <t>10.2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</si>
  <si>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</si>
  <si>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</si>
  <si>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</si>
  <si>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</si>
  <si>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</si>
  <si>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</si>
  <si>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</si>
  <si>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</si>
  <si>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</si>
  <si>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3.1</t>
  </si>
  <si>
    <t>3.2</t>
  </si>
  <si>
    <t>3.3</t>
  </si>
  <si>
    <t>3.4</t>
  </si>
  <si>
    <t>3.5</t>
  </si>
  <si>
    <t>3.6</t>
  </si>
  <si>
    <t>8.7</t>
  </si>
  <si>
    <t>8.8</t>
  </si>
  <si>
    <t>9.1</t>
  </si>
  <si>
    <t>9.2</t>
  </si>
  <si>
    <t>9.3</t>
  </si>
  <si>
    <t>10.3</t>
  </si>
  <si>
    <t>10.4</t>
  </si>
  <si>
    <t>10.5</t>
  </si>
  <si>
    <t>10.6</t>
  </si>
  <si>
    <t>1.12</t>
  </si>
  <si>
    <t>2.1</t>
  </si>
  <si>
    <t>2.2</t>
  </si>
  <si>
    <t>2.3</t>
  </si>
  <si>
    <t>2.4</t>
  </si>
  <si>
    <t>2.5</t>
  </si>
  <si>
    <t>2.6</t>
  </si>
  <si>
    <t>3.7</t>
  </si>
  <si>
    <t>3.8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</si>
  <si>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</si>
  <si>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</si>
  <si>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</si>
  <si>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</si>
  <si>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</si>
  <si>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</si>
  <si>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</si>
  <si>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</si>
  <si>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</si>
  <si>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</si>
  <si>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>5.2.6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</si>
  <si>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</si>
  <si>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</si>
  <si>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</si>
  <si>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</si>
  <si>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</si>
  <si>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</si>
  <si>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</si>
  <si>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</si>
  <si>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</si>
  <si>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Радіоприймач однопрограмний</t>
  </si>
  <si>
    <t>11.1</t>
  </si>
  <si>
    <t>13.1</t>
  </si>
  <si>
    <t>13.2</t>
  </si>
  <si>
    <t>13.3</t>
  </si>
  <si>
    <t>13.4</t>
  </si>
  <si>
    <t>3.9</t>
  </si>
  <si>
    <t>3.10</t>
  </si>
  <si>
    <t>3.11</t>
  </si>
  <si>
    <t>4.8</t>
  </si>
  <si>
    <t xml:space="preserve">(середній </t>
  </si>
  <si>
    <t>розмір сім"ї)</t>
  </si>
  <si>
    <t>Норми споживання</t>
  </si>
  <si>
    <t>Вартість споживання</t>
  </si>
  <si>
    <t>техніки</t>
  </si>
  <si>
    <t>одиниць побутової</t>
  </si>
  <si>
    <t>Фрукти різні</t>
  </si>
  <si>
    <t>Молоко, молокопродукти</t>
  </si>
  <si>
    <t>М'ясо, м'ясопродукти</t>
  </si>
  <si>
    <t>Птиця, кріль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</si>
  <si>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</si>
  <si>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</si>
  <si>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</si>
  <si>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</si>
  <si>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</si>
  <si>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</si>
  <si>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</si>
  <si>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</si>
  <si>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</si>
  <si>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15.5</t>
  </si>
  <si>
    <t>15.6</t>
  </si>
  <si>
    <t>15.7</t>
  </si>
  <si>
    <t>15.8</t>
  </si>
  <si>
    <t>16.1</t>
  </si>
  <si>
    <t>16.2</t>
  </si>
  <si>
    <t>20</t>
  </si>
  <si>
    <t>21</t>
  </si>
  <si>
    <t>Інші овочі та баштанні</t>
  </si>
  <si>
    <t>Риба, рибопродукти</t>
  </si>
  <si>
    <t>Овочі, баштанні</t>
  </si>
  <si>
    <t>Помідори, огірки</t>
  </si>
  <si>
    <t>Морква, буряк</t>
  </si>
  <si>
    <t>Фрукти, ягоди свіжі</t>
  </si>
  <si>
    <t>Кріль</t>
  </si>
  <si>
    <t>Підодіяльник</t>
  </si>
  <si>
    <t>Хусточки носові</t>
  </si>
  <si>
    <t>Мийні та чистильні засоби</t>
  </si>
  <si>
    <t xml:space="preserve">Синтетичні мийні засоби </t>
  </si>
  <si>
    <t>валеріана в упаковціі  10 шт.)</t>
  </si>
  <si>
    <t>(анальгін, аспірін  в упаковці 10 шт.</t>
  </si>
  <si>
    <t>Вітаміни (упаковка 10 шт.)</t>
  </si>
  <si>
    <t>Гірчичники (упаковка10 шт.)</t>
  </si>
  <si>
    <t>(шапочка, сорочечка, пелюшки)</t>
  </si>
  <si>
    <t>Футболка</t>
  </si>
  <si>
    <t>Чоботи (валянки) для дітей</t>
  </si>
  <si>
    <t>Пальто або шуба із штучного хутра</t>
  </si>
  <si>
    <t>Верхній демісезонний одяг</t>
  </si>
  <si>
    <t xml:space="preserve">Куртка з плащової (сумішної) або  </t>
  </si>
  <si>
    <t>Спідниця</t>
  </si>
  <si>
    <t xml:space="preserve">Кросове </t>
  </si>
  <si>
    <t>Шкільне письмове приладдя</t>
  </si>
  <si>
    <t>Сумка(рюкзак) учнівський</t>
  </si>
  <si>
    <t>Зошит (у перерахунку на 12 листків)</t>
  </si>
  <si>
    <t>Авторучка</t>
  </si>
  <si>
    <t>Підручник</t>
  </si>
  <si>
    <t xml:space="preserve">Пальто жіноче </t>
  </si>
  <si>
    <t>Чоловіча майка</t>
  </si>
  <si>
    <t>Інші (30%)</t>
  </si>
  <si>
    <t xml:space="preserve">Жіночі чоботи </t>
  </si>
  <si>
    <t>Жіночі туфлі (на низькому підборі)</t>
  </si>
  <si>
    <t>Туфлі жіночі</t>
  </si>
  <si>
    <t>Спортивне некросове</t>
  </si>
  <si>
    <t>Пальто жіноче</t>
  </si>
  <si>
    <t>Туфлі  жіночі</t>
  </si>
  <si>
    <t>Для споживачів з установленою</t>
  </si>
  <si>
    <t xml:space="preserve">за відсутності </t>
  </si>
  <si>
    <t>Вартість мінімального набору житлово-комунальних послуг, зв'язку, культури</t>
  </si>
  <si>
    <t>Зв'язок</t>
  </si>
  <si>
    <t>Тариф</t>
  </si>
  <si>
    <t>проїзду</t>
  </si>
  <si>
    <t>Птиця,кріль</t>
  </si>
  <si>
    <t>та змішаної тканини</t>
  </si>
  <si>
    <t xml:space="preserve">Сорочка чоловіча із змішаної тканини </t>
  </si>
  <si>
    <t xml:space="preserve">Чоботи чоловічі утеплені </t>
  </si>
  <si>
    <t xml:space="preserve">Сорочки чоловічі із змішаної тканини </t>
  </si>
  <si>
    <t xml:space="preserve">Чоботи  чоловічі утеплені </t>
  </si>
  <si>
    <t>Прожитковий мінімум в середньому на місяць на одну особу, грн. -</t>
  </si>
  <si>
    <t>разів/штук</t>
  </si>
  <si>
    <t>музеїв, парків, зоопарків, заповідників,</t>
  </si>
  <si>
    <t xml:space="preserve">кв.м (заг. площі) </t>
  </si>
  <si>
    <t>Гкал (на рік)</t>
  </si>
  <si>
    <t>ГКал/м2 (на рік)</t>
  </si>
  <si>
    <t>штук (на рік)</t>
  </si>
  <si>
    <t xml:space="preserve">на місяць </t>
  </si>
  <si>
    <t>на сім"ю)</t>
  </si>
  <si>
    <t>конверти (на місяць</t>
  </si>
  <si>
    <t>штук на серед-</t>
  </si>
  <si>
    <t>ньостатистичну сім"ю</t>
  </si>
  <si>
    <t xml:space="preserve"> на серед-</t>
  </si>
  <si>
    <t>за куб.м</t>
  </si>
  <si>
    <t>4.</t>
  </si>
  <si>
    <t xml:space="preserve"> </t>
  </si>
  <si>
    <t xml:space="preserve">Болезаспокійливі та жарознижуючі засоби </t>
  </si>
  <si>
    <t xml:space="preserve">Особи, які втратили </t>
  </si>
  <si>
    <t xml:space="preserve">на 1 дитину </t>
  </si>
  <si>
    <t>в середньому на одного</t>
  </si>
  <si>
    <t>пенсіонера на рік</t>
  </si>
  <si>
    <t>працездатного на рік</t>
  </si>
  <si>
    <t>Вартість мінімального набору непродовольчих товарів</t>
  </si>
  <si>
    <r>
      <t>Цукор,</t>
    </r>
    <r>
      <rPr>
        <b/>
        <sz val="8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конд.вироби</t>
    </r>
  </si>
  <si>
    <r>
      <t>Судиннорозширювальні (</t>
    </r>
    <r>
      <rPr>
        <sz val="8"/>
        <rFont val="Times New Roman"/>
        <family val="1"/>
        <charset val="204"/>
      </rPr>
      <t xml:space="preserve">валідол, </t>
    </r>
  </si>
  <si>
    <r>
      <t>Дезинфікаційні засоби (</t>
    </r>
    <r>
      <rPr>
        <sz val="8"/>
        <rFont val="Times New Roman"/>
        <family val="1"/>
        <charset val="204"/>
      </rPr>
      <t>йод, зеленка</t>
    </r>
    <r>
      <rPr>
        <sz val="10"/>
        <rFont val="Times New Roman"/>
        <family val="1"/>
        <charset val="204"/>
      </rPr>
      <t>)</t>
    </r>
  </si>
  <si>
    <r>
      <t xml:space="preserve">Вартість </t>
    </r>
    <r>
      <rPr>
        <sz val="8"/>
        <rFont val="Times New Roman"/>
        <family val="1"/>
        <charset val="204"/>
      </rPr>
      <t>загального обсягу споживання</t>
    </r>
  </si>
  <si>
    <r>
      <t>Хімчистка</t>
    </r>
    <r>
      <rPr>
        <sz val="8"/>
        <rFont val="Times New Roman"/>
        <family val="1"/>
        <charset val="204"/>
      </rPr>
      <t xml:space="preserve"> та фарбування одягу</t>
    </r>
  </si>
  <si>
    <r>
      <t xml:space="preserve">Культура </t>
    </r>
    <r>
      <rPr>
        <sz val="10"/>
        <rFont val="Times New Roman"/>
        <family val="1"/>
        <charset val="204"/>
      </rPr>
      <t>(відвідування</t>
    </r>
  </si>
  <si>
    <t xml:space="preserve">У відсотках </t>
  </si>
  <si>
    <t>Каструля</t>
  </si>
  <si>
    <t>сім'ю в</t>
  </si>
  <si>
    <t>Чисельність населення за статтю і віком в Україні</t>
  </si>
  <si>
    <t xml:space="preserve">Вартість набору продуктів харчування  для працездатного населення </t>
  </si>
  <si>
    <t>Взуття літнє, спортивне та домашнє</t>
  </si>
  <si>
    <t>Джемпер, светр чоловічий</t>
  </si>
  <si>
    <t>Джемпер, светр жіночий</t>
  </si>
  <si>
    <t>3.13</t>
  </si>
  <si>
    <t>3.12</t>
  </si>
  <si>
    <t>Джемпер, светр  чоловічий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</si>
  <si>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</si>
  <si>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Спортивний костюм чоловічий</t>
  </si>
  <si>
    <t>Домашнє взуття жіноче</t>
  </si>
  <si>
    <t>Домашнє взуття чоловіче</t>
  </si>
  <si>
    <t>3,12</t>
  </si>
  <si>
    <t>Спортивний костюм жіночий</t>
  </si>
  <si>
    <t xml:space="preserve">віком до 6 років </t>
  </si>
  <si>
    <t>(грн)</t>
  </si>
  <si>
    <r>
      <t xml:space="preserve">Розмір прожиткового мінімуму </t>
    </r>
    <r>
      <rPr>
        <sz val="11"/>
        <rFont val="Times New Roman"/>
        <family val="1"/>
        <charset val="204"/>
      </rPr>
      <t>(без урахування суми податку на доходи фізичних осіб)</t>
    </r>
  </si>
  <si>
    <t>Розмір прожиткового мінімуму</t>
  </si>
  <si>
    <t>Сума податку на доходи фізичних осіб</t>
  </si>
  <si>
    <t>Всього  споживачів</t>
  </si>
  <si>
    <t>квт
(на рік на сім`ю)</t>
  </si>
  <si>
    <t>для квартир, що обладнані газовою плитою
     до 100 квт</t>
  </si>
  <si>
    <t xml:space="preserve">     понад 100 квт</t>
  </si>
  <si>
    <t>для квартир, що обладнані електроплитою
     до 100 квт</t>
  </si>
  <si>
    <r>
      <t>- з урахуванням суми податку на доходи фізичних осіб</t>
    </r>
    <r>
      <rPr>
        <b/>
        <sz val="9"/>
        <rFont val="Times New Roman"/>
        <family val="1"/>
        <charset val="204"/>
      </rPr>
      <t>)</t>
    </r>
  </si>
  <si>
    <t>2016 р.</t>
  </si>
  <si>
    <t>за липень</t>
  </si>
  <si>
    <t xml:space="preserve">на початок 2016 року </t>
  </si>
  <si>
    <t>(у цінах липня 2016 р.)</t>
  </si>
</sst>
</file>

<file path=xl/styles.xml><?xml version="1.0" encoding="utf-8"?>
<styleSheet xmlns="http://schemas.openxmlformats.org/spreadsheetml/2006/main">
  <numFmts count="6">
    <numFmt numFmtId="164" formatCode="#,##0&quot;р.&quot;;[Red]\-#,##0&quot;р.&quot;"/>
    <numFmt numFmtId="165" formatCode="0.0000"/>
    <numFmt numFmtId="166" formatCode="0.000"/>
    <numFmt numFmtId="167" formatCode="0.0"/>
    <numFmt numFmtId="168" formatCode="0.000000"/>
    <numFmt numFmtId="169" formatCode="0.00000"/>
  </numFmts>
  <fonts count="34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2" fillId="0" borderId="0" xfId="0" applyFont="1"/>
    <xf numFmtId="0" fontId="0" fillId="0" borderId="7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/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8" fillId="0" borderId="5" xfId="0" applyFont="1" applyBorder="1"/>
    <xf numFmtId="2" fontId="8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167" fontId="8" fillId="0" borderId="5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0" fillId="0" borderId="9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0" xfId="0" applyBorder="1"/>
    <xf numFmtId="0" fontId="9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49" fontId="3" fillId="0" borderId="0" xfId="0" applyNumberFormat="1" applyFont="1"/>
    <xf numFmtId="2" fontId="0" fillId="0" borderId="0" xfId="0" applyNumberFormat="1"/>
    <xf numFmtId="0" fontId="0" fillId="0" borderId="0" xfId="0" applyFill="1"/>
    <xf numFmtId="167" fontId="0" fillId="0" borderId="0" xfId="0" applyNumberFormat="1"/>
    <xf numFmtId="166" fontId="0" fillId="0" borderId="0" xfId="0" applyNumberFormat="1"/>
    <xf numFmtId="2" fontId="0" fillId="0" borderId="0" xfId="0" applyNumberFormat="1" applyFill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6" xfId="0" applyFont="1" applyBorder="1"/>
    <xf numFmtId="0" fontId="12" fillId="0" borderId="3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12" fillId="0" borderId="11" xfId="0" applyFont="1" applyBorder="1"/>
    <xf numFmtId="0" fontId="18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left"/>
    </xf>
    <xf numFmtId="164" fontId="18" fillId="0" borderId="5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left"/>
    </xf>
    <xf numFmtId="0" fontId="12" fillId="0" borderId="7" xfId="0" applyFont="1" applyBorder="1"/>
    <xf numFmtId="0" fontId="18" fillId="0" borderId="7" xfId="0" applyFont="1" applyBorder="1" applyAlignment="1">
      <alignment horizontal="center"/>
    </xf>
    <xf numFmtId="0" fontId="12" fillId="0" borderId="5" xfId="0" applyFont="1" applyBorder="1"/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9" fillId="0" borderId="5" xfId="0" applyNumberFormat="1" applyFont="1" applyBorder="1" applyAlignment="1">
      <alignment horizontal="left"/>
    </xf>
    <xf numFmtId="0" fontId="19" fillId="0" borderId="7" xfId="0" applyFont="1" applyBorder="1"/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49" fontId="12" fillId="0" borderId="7" xfId="0" applyNumberFormat="1" applyFont="1" applyBorder="1"/>
    <xf numFmtId="0" fontId="12" fillId="0" borderId="7" xfId="0" applyFont="1" applyBorder="1" applyAlignment="1">
      <alignment horizontal="left"/>
    </xf>
    <xf numFmtId="49" fontId="19" fillId="0" borderId="7" xfId="0" applyNumberFormat="1" applyFont="1" applyBorder="1"/>
    <xf numFmtId="1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19" fillId="0" borderId="0" xfId="0" applyFont="1"/>
    <xf numFmtId="49" fontId="11" fillId="0" borderId="1" xfId="0" applyNumberFormat="1" applyFont="1" applyBorder="1"/>
    <xf numFmtId="0" fontId="11" fillId="0" borderId="11" xfId="0" applyFont="1" applyBorder="1"/>
    <xf numFmtId="2" fontId="11" fillId="0" borderId="12" xfId="0" applyNumberFormat="1" applyFont="1" applyBorder="1" applyAlignment="1">
      <alignment horizontal="center"/>
    </xf>
    <xf numFmtId="49" fontId="11" fillId="0" borderId="2" xfId="0" applyNumberFormat="1" applyFont="1" applyBorder="1"/>
    <xf numFmtId="0" fontId="11" fillId="0" borderId="13" xfId="0" applyFont="1" applyBorder="1"/>
    <xf numFmtId="0" fontId="12" fillId="0" borderId="13" xfId="0" applyFont="1" applyBorder="1"/>
    <xf numFmtId="2" fontId="11" fillId="0" borderId="10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20" fillId="0" borderId="0" xfId="0" applyFont="1"/>
    <xf numFmtId="0" fontId="11" fillId="0" borderId="0" xfId="0" applyFont="1" applyAlignment="1">
      <alignment horizontal="center"/>
    </xf>
    <xf numFmtId="0" fontId="12" fillId="0" borderId="13" xfId="0" applyFont="1" applyBorder="1" applyAlignment="1">
      <alignment horizontal="left"/>
    </xf>
    <xf numFmtId="0" fontId="19" fillId="0" borderId="13" xfId="0" applyFont="1" applyBorder="1"/>
    <xf numFmtId="0" fontId="18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9" fillId="0" borderId="5" xfId="0" applyFont="1" applyBorder="1"/>
    <xf numFmtId="0" fontId="13" fillId="0" borderId="5" xfId="0" applyFont="1" applyBorder="1" applyAlignment="1">
      <alignment horizontal="center"/>
    </xf>
    <xf numFmtId="49" fontId="12" fillId="0" borderId="5" xfId="0" applyNumberFormat="1" applyFont="1" applyBorder="1"/>
    <xf numFmtId="49" fontId="19" fillId="0" borderId="5" xfId="0" applyNumberFormat="1" applyFont="1" applyBorder="1"/>
    <xf numFmtId="49" fontId="19" fillId="0" borderId="3" xfId="0" applyNumberFormat="1" applyFont="1" applyBorder="1" applyAlignment="1">
      <alignment horizontal="left"/>
    </xf>
    <xf numFmtId="167" fontId="12" fillId="0" borderId="5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49" fontId="12" fillId="0" borderId="3" xfId="0" applyNumberFormat="1" applyFont="1" applyBorder="1" applyAlignment="1">
      <alignment horizontal="left"/>
    </xf>
    <xf numFmtId="0" fontId="12" fillId="0" borderId="2" xfId="0" applyFont="1" applyBorder="1"/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/>
    <xf numFmtId="0" fontId="19" fillId="0" borderId="0" xfId="0" applyFont="1" applyBorder="1"/>
    <xf numFmtId="0" fontId="19" fillId="0" borderId="0" xfId="0" applyFont="1" applyAlignment="1">
      <alignment horizontal="left"/>
    </xf>
    <xf numFmtId="1" fontId="12" fillId="0" borderId="2" xfId="0" applyNumberFormat="1" applyFont="1" applyBorder="1" applyAlignment="1">
      <alignment horizontal="center"/>
    </xf>
    <xf numFmtId="49" fontId="19" fillId="0" borderId="2" xfId="0" applyNumberFormat="1" applyFont="1" applyBorder="1"/>
    <xf numFmtId="0" fontId="12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19" fillId="0" borderId="6" xfId="0" applyNumberFormat="1" applyFont="1" applyBorder="1" applyAlignment="1">
      <alignment horizontal="left"/>
    </xf>
    <xf numFmtId="49" fontId="12" fillId="0" borderId="0" xfId="0" applyNumberFormat="1" applyFont="1"/>
    <xf numFmtId="0" fontId="1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5" xfId="0" applyFont="1" applyBorder="1"/>
    <xf numFmtId="2" fontId="16" fillId="0" borderId="5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left"/>
    </xf>
    <xf numFmtId="49" fontId="16" fillId="0" borderId="7" xfId="0" applyNumberFormat="1" applyFont="1" applyBorder="1" applyAlignment="1">
      <alignment horizontal="left"/>
    </xf>
    <xf numFmtId="0" fontId="16" fillId="0" borderId="5" xfId="0" applyFont="1" applyBorder="1"/>
    <xf numFmtId="2" fontId="13" fillId="0" borderId="5" xfId="0" applyNumberFormat="1" applyFont="1" applyBorder="1" applyAlignment="1">
      <alignment horizontal="center"/>
    </xf>
    <xf numFmtId="0" fontId="23" fillId="0" borderId="5" xfId="0" applyFont="1" applyBorder="1"/>
    <xf numFmtId="0" fontId="19" fillId="0" borderId="0" xfId="0" applyFont="1" applyBorder="1" applyAlignment="1">
      <alignment horizontal="center"/>
    </xf>
    <xf numFmtId="166" fontId="19" fillId="0" borderId="5" xfId="0" applyNumberFormat="1" applyFont="1" applyBorder="1" applyAlignment="1">
      <alignment horizontal="center"/>
    </xf>
    <xf numFmtId="0" fontId="18" fillId="0" borderId="5" xfId="0" applyFont="1" applyBorder="1"/>
    <xf numFmtId="49" fontId="17" fillId="0" borderId="1" xfId="0" applyNumberFormat="1" applyFont="1" applyBorder="1"/>
    <xf numFmtId="0" fontId="17" fillId="0" borderId="11" xfId="0" applyFont="1" applyBorder="1"/>
    <xf numFmtId="0" fontId="24" fillId="0" borderId="11" xfId="0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49" fontId="17" fillId="0" borderId="2" xfId="0" applyNumberFormat="1" applyFont="1" applyBorder="1"/>
    <xf numFmtId="0" fontId="24" fillId="0" borderId="13" xfId="0" applyFont="1" applyBorder="1"/>
    <xf numFmtId="0" fontId="24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67" fontId="12" fillId="0" borderId="4" xfId="0" applyNumberFormat="1" applyFont="1" applyBorder="1" applyAlignment="1">
      <alignment horizontal="center"/>
    </xf>
    <xf numFmtId="167" fontId="19" fillId="0" borderId="4" xfId="0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49" fontId="12" fillId="0" borderId="13" xfId="0" applyNumberFormat="1" applyFont="1" applyBorder="1"/>
    <xf numFmtId="0" fontId="18" fillId="0" borderId="0" xfId="0" applyFont="1" applyBorder="1"/>
    <xf numFmtId="0" fontId="18" fillId="0" borderId="7" xfId="0" applyFont="1" applyBorder="1"/>
    <xf numFmtId="49" fontId="12" fillId="0" borderId="3" xfId="0" applyNumberFormat="1" applyFont="1" applyBorder="1"/>
    <xf numFmtId="0" fontId="18" fillId="0" borderId="3" xfId="0" applyFont="1" applyBorder="1"/>
    <xf numFmtId="2" fontId="1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49" fontId="19" fillId="0" borderId="1" xfId="0" applyNumberFormat="1" applyFont="1" applyBorder="1"/>
    <xf numFmtId="2" fontId="19" fillId="0" borderId="0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0" fontId="12" fillId="0" borderId="1" xfId="0" applyFont="1" applyBorder="1"/>
    <xf numFmtId="0" fontId="18" fillId="0" borderId="11" xfId="0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19" fillId="0" borderId="10" xfId="0" applyFont="1" applyBorder="1" applyAlignment="1">
      <alignment horizontal="center"/>
    </xf>
    <xf numFmtId="0" fontId="12" fillId="0" borderId="10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4" xfId="0" applyNumberFormat="1" applyFont="1" applyBorder="1" applyAlignment="1">
      <alignment horizontal="center"/>
    </xf>
    <xf numFmtId="166" fontId="23" fillId="0" borderId="5" xfId="0" applyNumberFormat="1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/>
    <xf numFmtId="0" fontId="23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5" xfId="0" applyFont="1" applyBorder="1"/>
    <xf numFmtId="0" fontId="14" fillId="0" borderId="3" xfId="0" applyFont="1" applyBorder="1"/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3" xfId="0" applyFont="1" applyBorder="1"/>
    <xf numFmtId="49" fontId="18" fillId="0" borderId="6" xfId="0" applyNumberFormat="1" applyFont="1" applyBorder="1" applyAlignment="1">
      <alignment horizontal="center"/>
    </xf>
    <xf numFmtId="0" fontId="18" fillId="0" borderId="11" xfId="0" applyFont="1" applyBorder="1"/>
    <xf numFmtId="49" fontId="18" fillId="0" borderId="5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/>
    </xf>
    <xf numFmtId="49" fontId="18" fillId="0" borderId="7" xfId="0" applyNumberFormat="1" applyFont="1" applyBorder="1" applyAlignment="1">
      <alignment horizontal="left"/>
    </xf>
    <xf numFmtId="49" fontId="18" fillId="0" borderId="3" xfId="0" applyNumberFormat="1" applyFont="1" applyBorder="1" applyAlignment="1">
      <alignment horizontal="left"/>
    </xf>
    <xf numFmtId="0" fontId="18" fillId="0" borderId="13" xfId="0" applyFont="1" applyBorder="1"/>
    <xf numFmtId="49" fontId="12" fillId="0" borderId="6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16" fillId="0" borderId="0" xfId="0" applyFont="1" applyBorder="1"/>
    <xf numFmtId="167" fontId="13" fillId="0" borderId="5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1" xfId="0" applyFont="1" applyBorder="1"/>
    <xf numFmtId="166" fontId="12" fillId="0" borderId="11" xfId="0" applyNumberFormat="1" applyFont="1" applyBorder="1" applyAlignment="1">
      <alignment horizontal="center"/>
    </xf>
    <xf numFmtId="49" fontId="11" fillId="0" borderId="7" xfId="0" applyNumberFormat="1" applyFont="1" applyBorder="1"/>
    <xf numFmtId="0" fontId="11" fillId="0" borderId="0" xfId="0" applyFont="1" applyBorder="1"/>
    <xf numFmtId="49" fontId="15" fillId="0" borderId="5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left"/>
    </xf>
    <xf numFmtId="0" fontId="15" fillId="0" borderId="0" xfId="0" applyFont="1" applyBorder="1"/>
    <xf numFmtId="0" fontId="15" fillId="0" borderId="7" xfId="0" applyFont="1" applyBorder="1"/>
    <xf numFmtId="167" fontId="18" fillId="0" borderId="7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left"/>
    </xf>
    <xf numFmtId="0" fontId="15" fillId="0" borderId="13" xfId="0" applyFont="1" applyBorder="1"/>
    <xf numFmtId="167" fontId="18" fillId="0" borderId="2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0" applyFont="1" applyBorder="1"/>
    <xf numFmtId="0" fontId="13" fillId="0" borderId="4" xfId="0" applyFont="1" applyBorder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0" fontId="12" fillId="0" borderId="4" xfId="0" applyFont="1" applyBorder="1"/>
    <xf numFmtId="166" fontId="12" fillId="0" borderId="7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2" fontId="12" fillId="0" borderId="7" xfId="0" applyNumberFormat="1" applyFont="1" applyBorder="1"/>
    <xf numFmtId="49" fontId="12" fillId="0" borderId="1" xfId="0" applyNumberFormat="1" applyFont="1" applyBorder="1"/>
    <xf numFmtId="0" fontId="16" fillId="0" borderId="11" xfId="0" applyFont="1" applyBorder="1" applyAlignment="1">
      <alignment horizontal="center"/>
    </xf>
    <xf numFmtId="0" fontId="16" fillId="0" borderId="13" xfId="0" applyFont="1" applyBorder="1"/>
    <xf numFmtId="0" fontId="15" fillId="0" borderId="7" xfId="0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left"/>
    </xf>
    <xf numFmtId="2" fontId="22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15" fillId="0" borderId="5" xfId="0" applyFont="1" applyBorder="1"/>
    <xf numFmtId="166" fontId="15" fillId="0" borderId="7" xfId="0" applyNumberFormat="1" applyFont="1" applyBorder="1" applyAlignment="1">
      <alignment horizontal="center"/>
    </xf>
    <xf numFmtId="166" fontId="22" fillId="0" borderId="7" xfId="0" applyNumberFormat="1" applyFont="1" applyBorder="1" applyAlignment="1">
      <alignment horizontal="center"/>
    </xf>
    <xf numFmtId="49" fontId="16" fillId="0" borderId="1" xfId="0" applyNumberFormat="1" applyFont="1" applyBorder="1"/>
    <xf numFmtId="0" fontId="16" fillId="0" borderId="7" xfId="0" applyFont="1" applyBorder="1"/>
    <xf numFmtId="49" fontId="19" fillId="0" borderId="3" xfId="0" applyNumberFormat="1" applyFont="1" applyBorder="1"/>
    <xf numFmtId="0" fontId="16" fillId="0" borderId="2" xfId="0" applyFont="1" applyBorder="1"/>
    <xf numFmtId="0" fontId="16" fillId="0" borderId="13" xfId="0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49" fontId="11" fillId="0" borderId="3" xfId="0" applyNumberFormat="1" applyFont="1" applyBorder="1"/>
    <xf numFmtId="2" fontId="15" fillId="0" borderId="13" xfId="0" applyNumberFormat="1" applyFont="1" applyBorder="1" applyAlignment="1">
      <alignment horizontal="center"/>
    </xf>
    <xf numFmtId="49" fontId="12" fillId="0" borderId="6" xfId="0" applyNumberFormat="1" applyFont="1" applyBorder="1"/>
    <xf numFmtId="49" fontId="12" fillId="0" borderId="2" xfId="0" applyNumberFormat="1" applyFont="1" applyBorder="1"/>
    <xf numFmtId="0" fontId="19" fillId="0" borderId="5" xfId="0" applyFont="1" applyBorder="1" applyAlignment="1">
      <alignment horizontal="center"/>
    </xf>
    <xf numFmtId="2" fontId="26" fillId="0" borderId="7" xfId="0" applyNumberFormat="1" applyFont="1" applyBorder="1" applyAlignment="1">
      <alignment horizontal="center"/>
    </xf>
    <xf numFmtId="2" fontId="27" fillId="0" borderId="5" xfId="0" applyNumberFormat="1" applyFont="1" applyBorder="1" applyAlignment="1">
      <alignment horizontal="center"/>
    </xf>
    <xf numFmtId="167" fontId="26" fillId="0" borderId="5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49" fontId="13" fillId="0" borderId="5" xfId="0" applyNumberFormat="1" applyFont="1" applyBorder="1"/>
    <xf numFmtId="167" fontId="12" fillId="0" borderId="0" xfId="0" applyNumberFormat="1" applyFont="1" applyAlignment="1">
      <alignment horizontal="center"/>
    </xf>
    <xf numFmtId="0" fontId="13" fillId="0" borderId="0" xfId="0" applyFont="1" applyBorder="1"/>
    <xf numFmtId="2" fontId="12" fillId="0" borderId="2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29" fillId="0" borderId="0" xfId="0" applyFont="1"/>
    <xf numFmtId="2" fontId="0" fillId="0" borderId="0" xfId="0" applyNumberFormat="1" applyFill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164" fontId="15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23" fillId="0" borderId="5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2" fontId="12" fillId="0" borderId="11" xfId="0" applyNumberFormat="1" applyFont="1" applyBorder="1"/>
    <xf numFmtId="0" fontId="13" fillId="0" borderId="0" xfId="0" applyFont="1"/>
    <xf numFmtId="1" fontId="0" fillId="0" borderId="0" xfId="0" applyNumberFormat="1"/>
    <xf numFmtId="2" fontId="18" fillId="0" borderId="3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49" fontId="13" fillId="0" borderId="5" xfId="0" applyNumberFormat="1" applyFont="1" applyBorder="1" applyAlignment="1">
      <alignment horizontal="left"/>
    </xf>
    <xf numFmtId="0" fontId="13" fillId="0" borderId="7" xfId="0" applyFont="1" applyBorder="1"/>
    <xf numFmtId="2" fontId="13" fillId="0" borderId="0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13" fillId="0" borderId="7" xfId="0" applyNumberFormat="1" applyFont="1" applyBorder="1"/>
    <xf numFmtId="0" fontId="13" fillId="0" borderId="0" xfId="0" applyFont="1" applyAlignment="1">
      <alignment horizontal="left"/>
    </xf>
    <xf numFmtId="2" fontId="0" fillId="0" borderId="0" xfId="0" applyNumberForma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2" fontId="19" fillId="0" borderId="3" xfId="0" applyNumberFormat="1" applyFont="1" applyBorder="1"/>
    <xf numFmtId="2" fontId="19" fillId="0" borderId="6" xfId="0" applyNumberFormat="1" applyFont="1" applyBorder="1"/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7" fontId="19" fillId="0" borderId="0" xfId="0" applyNumberFormat="1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8" fontId="0" fillId="0" borderId="4" xfId="0" applyNumberFormat="1" applyBorder="1" applyAlignment="1">
      <alignment horizontal="center"/>
    </xf>
    <xf numFmtId="168" fontId="8" fillId="0" borderId="4" xfId="0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8" fillId="0" borderId="5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9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166" fontId="12" fillId="0" borderId="5" xfId="0" applyNumberFormat="1" applyFont="1" applyFill="1" applyBorder="1" applyAlignment="1">
      <alignment horizontal="center"/>
    </xf>
    <xf numFmtId="167" fontId="12" fillId="0" borderId="4" xfId="0" applyNumberFormat="1" applyFont="1" applyFill="1" applyBorder="1" applyAlignment="1">
      <alignment horizontal="center"/>
    </xf>
    <xf numFmtId="1" fontId="0" fillId="0" borderId="0" xfId="0" applyNumberFormat="1" applyFill="1"/>
    <xf numFmtId="0" fontId="12" fillId="0" borderId="0" xfId="0" applyFont="1" applyAlignment="1">
      <alignment wrapText="1"/>
    </xf>
    <xf numFmtId="0" fontId="18" fillId="0" borderId="5" xfId="0" applyFont="1" applyBorder="1" applyAlignment="1">
      <alignment horizontal="center" vertical="top" wrapText="1"/>
    </xf>
    <xf numFmtId="1" fontId="12" fillId="0" borderId="5" xfId="0" applyNumberFormat="1" applyFont="1" applyBorder="1" applyAlignment="1">
      <alignment horizontal="center" vertical="top"/>
    </xf>
    <xf numFmtId="2" fontId="12" fillId="0" borderId="7" xfId="0" applyNumberFormat="1" applyFont="1" applyFill="1" applyBorder="1" applyAlignment="1">
      <alignment horizontal="center"/>
    </xf>
    <xf numFmtId="168" fontId="0" fillId="0" borderId="5" xfId="0" applyNumberForma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168" fontId="33" fillId="0" borderId="4" xfId="0" applyNumberFormat="1" applyFont="1" applyBorder="1" applyAlignment="1">
      <alignment horizontal="center"/>
    </xf>
    <xf numFmtId="168" fontId="32" fillId="0" borderId="5" xfId="0" applyNumberFormat="1" applyFont="1" applyBorder="1" applyAlignment="1">
      <alignment horizontal="center"/>
    </xf>
    <xf numFmtId="168" fontId="10" fillId="0" borderId="8" xfId="0" applyNumberFormat="1" applyFont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1" fillId="0" borderId="8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2" fontId="24" fillId="0" borderId="8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169" fontId="19" fillId="0" borderId="5" xfId="0" applyNumberFormat="1" applyFont="1" applyBorder="1"/>
    <xf numFmtId="169" fontId="19" fillId="0" borderId="3" xfId="0" applyNumberFormat="1" applyFont="1" applyBorder="1"/>
    <xf numFmtId="2" fontId="19" fillId="0" borderId="12" xfId="0" applyNumberFormat="1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zoomScale="75" workbookViewId="0">
      <selection activeCell="J46" sqref="J46"/>
    </sheetView>
  </sheetViews>
  <sheetFormatPr defaultRowHeight="12.75"/>
  <cols>
    <col min="1" max="1" width="3.85546875" customWidth="1"/>
    <col min="2" max="2" width="33.42578125" customWidth="1"/>
    <col min="3" max="3" width="16.28515625" customWidth="1"/>
    <col min="4" max="4" width="8.7109375" customWidth="1"/>
    <col min="5" max="5" width="16.7109375" style="5" customWidth="1"/>
    <col min="6" max="6" width="16.28515625" customWidth="1"/>
    <col min="7" max="7" width="15.140625" customWidth="1"/>
    <col min="8" max="8" width="11.140625" customWidth="1"/>
    <col min="9" max="9" width="16" style="5" customWidth="1"/>
    <col min="10" max="10" width="18.28515625" customWidth="1"/>
  </cols>
  <sheetData>
    <row r="1" spans="1:10" ht="18" customHeight="1">
      <c r="A1" s="33" t="s">
        <v>648</v>
      </c>
      <c r="B1" s="391" t="s">
        <v>400</v>
      </c>
      <c r="C1" s="391"/>
      <c r="D1" s="391"/>
      <c r="E1" s="391"/>
      <c r="F1" s="391"/>
      <c r="G1" s="391"/>
      <c r="H1" s="391"/>
      <c r="I1" s="391"/>
      <c r="J1" s="391"/>
    </row>
    <row r="2" spans="1:10" ht="15.75">
      <c r="A2" s="33"/>
      <c r="B2" s="392" t="s">
        <v>401</v>
      </c>
      <c r="C2" s="392"/>
      <c r="D2" s="392"/>
      <c r="E2" s="392"/>
      <c r="F2" s="392"/>
      <c r="G2" s="392"/>
      <c r="H2" s="392"/>
      <c r="I2" s="392"/>
      <c r="J2" s="392"/>
    </row>
    <row r="3" spans="1:10">
      <c r="B3" s="411" t="s">
        <v>668</v>
      </c>
      <c r="C3" s="393"/>
      <c r="D3" s="393"/>
      <c r="E3" s="393"/>
      <c r="F3" s="393"/>
      <c r="G3" s="393"/>
      <c r="H3" s="393"/>
      <c r="I3" s="393"/>
    </row>
    <row r="4" spans="1:10">
      <c r="A4" s="6" t="s">
        <v>8</v>
      </c>
      <c r="B4" s="1"/>
      <c r="C4" s="9" t="s">
        <v>403</v>
      </c>
      <c r="D4" s="9" t="s">
        <v>108</v>
      </c>
      <c r="E4" s="9" t="s">
        <v>403</v>
      </c>
      <c r="F4" s="6" t="s">
        <v>108</v>
      </c>
      <c r="G4" s="9" t="s">
        <v>403</v>
      </c>
      <c r="H4" s="9" t="s">
        <v>108</v>
      </c>
      <c r="I4" s="9" t="s">
        <v>403</v>
      </c>
      <c r="J4" s="9" t="s">
        <v>108</v>
      </c>
    </row>
    <row r="5" spans="1:10">
      <c r="A5" s="13" t="s">
        <v>409</v>
      </c>
      <c r="B5" s="8"/>
      <c r="C5" s="5" t="s">
        <v>404</v>
      </c>
      <c r="D5" s="10" t="s">
        <v>109</v>
      </c>
      <c r="E5" s="5" t="s">
        <v>404</v>
      </c>
      <c r="F5" s="13" t="s">
        <v>109</v>
      </c>
      <c r="G5" s="10" t="s">
        <v>404</v>
      </c>
      <c r="H5" s="10" t="s">
        <v>109</v>
      </c>
      <c r="I5" s="10" t="s">
        <v>404</v>
      </c>
      <c r="J5" s="10" t="s">
        <v>109</v>
      </c>
    </row>
    <row r="6" spans="1:10">
      <c r="A6" s="13"/>
      <c r="B6" s="8" t="s">
        <v>623</v>
      </c>
      <c r="C6" s="5" t="s">
        <v>356</v>
      </c>
      <c r="D6" s="10" t="s">
        <v>206</v>
      </c>
      <c r="E6" s="5" t="s">
        <v>356</v>
      </c>
      <c r="F6" s="13" t="s">
        <v>206</v>
      </c>
      <c r="G6" s="10" t="s">
        <v>358</v>
      </c>
      <c r="H6" s="10" t="s">
        <v>206</v>
      </c>
      <c r="I6" s="5" t="s">
        <v>114</v>
      </c>
      <c r="J6" s="10" t="s">
        <v>206</v>
      </c>
    </row>
    <row r="7" spans="1:10">
      <c r="A7" s="13"/>
      <c r="B7" s="8"/>
      <c r="C7" s="5" t="s">
        <v>257</v>
      </c>
      <c r="D7" s="10"/>
      <c r="E7" s="5" t="s">
        <v>357</v>
      </c>
      <c r="F7" s="13"/>
      <c r="G7" s="10" t="s">
        <v>359</v>
      </c>
      <c r="I7" s="10" t="s">
        <v>115</v>
      </c>
      <c r="J7" s="10"/>
    </row>
    <row r="8" spans="1:10">
      <c r="A8" s="13"/>
      <c r="B8" s="8"/>
      <c r="C8" s="20"/>
      <c r="D8" s="10" t="s">
        <v>96</v>
      </c>
      <c r="E8" s="10"/>
      <c r="F8" s="10" t="s">
        <v>96</v>
      </c>
      <c r="G8" s="10"/>
      <c r="H8" s="10" t="s">
        <v>96</v>
      </c>
      <c r="I8" s="10" t="s">
        <v>116</v>
      </c>
      <c r="J8" s="10" t="s">
        <v>96</v>
      </c>
    </row>
    <row r="9" spans="1:10">
      <c r="A9" s="13"/>
      <c r="B9" s="8"/>
      <c r="C9" s="20" t="s">
        <v>360</v>
      </c>
      <c r="D9" s="10"/>
      <c r="E9" s="20" t="s">
        <v>360</v>
      </c>
      <c r="F9" s="10"/>
      <c r="G9" s="4" t="s">
        <v>360</v>
      </c>
      <c r="H9" s="10"/>
      <c r="I9" s="20" t="s">
        <v>360</v>
      </c>
      <c r="J9" s="10"/>
    </row>
    <row r="10" spans="1:10" s="22" customFormat="1">
      <c r="A10" s="16"/>
      <c r="B10" s="2"/>
      <c r="C10" s="16" t="s">
        <v>402</v>
      </c>
      <c r="D10" s="16"/>
      <c r="E10" s="16" t="s">
        <v>402</v>
      </c>
      <c r="F10" s="16"/>
      <c r="G10" s="16" t="s">
        <v>402</v>
      </c>
      <c r="H10" s="16"/>
      <c r="I10" s="16" t="s">
        <v>402</v>
      </c>
      <c r="J10" s="17"/>
    </row>
    <row r="11" spans="1:10">
      <c r="A11" s="13"/>
      <c r="B11" s="8"/>
      <c r="C11" s="20"/>
      <c r="D11" s="10"/>
      <c r="E11" s="10"/>
      <c r="F11" s="10"/>
      <c r="G11" s="39"/>
      <c r="H11" s="20"/>
      <c r="I11" s="29"/>
      <c r="J11" s="8"/>
    </row>
    <row r="12" spans="1:10" ht="15">
      <c r="A12" s="47">
        <v>1</v>
      </c>
      <c r="B12" s="23" t="s">
        <v>110</v>
      </c>
      <c r="C12" s="27">
        <v>1180.72</v>
      </c>
      <c r="D12" s="35">
        <f>C12/C35*100</f>
        <v>43.906647428936914</v>
      </c>
      <c r="E12" s="27">
        <v>1585.8</v>
      </c>
      <c r="F12" s="35">
        <f>E12/E35*100</f>
        <v>49.439911707762676</v>
      </c>
      <c r="G12" s="27">
        <v>1203.4100000000001</v>
      </c>
      <c r="H12" s="40">
        <f>G12/G32*100</f>
        <v>43.2876623633558</v>
      </c>
      <c r="I12" s="27">
        <v>888.95</v>
      </c>
      <c r="J12" s="35">
        <f>I12/I35*100</f>
        <v>38.650840235657299</v>
      </c>
    </row>
    <row r="13" spans="1:10">
      <c r="A13" s="13"/>
      <c r="B13" s="8"/>
      <c r="C13" s="39"/>
      <c r="D13" s="11"/>
      <c r="E13" s="19"/>
      <c r="F13" s="11"/>
      <c r="G13" s="39"/>
      <c r="H13" s="7"/>
      <c r="I13" s="29"/>
      <c r="J13" s="11"/>
    </row>
    <row r="14" spans="1:10" ht="15">
      <c r="A14" s="47">
        <v>2</v>
      </c>
      <c r="B14" s="23" t="s">
        <v>111</v>
      </c>
      <c r="C14" s="378">
        <v>520.37</v>
      </c>
      <c r="D14" s="369">
        <f>C14/C35*100</f>
        <v>19.350652248285709</v>
      </c>
      <c r="E14" s="378">
        <v>566.73</v>
      </c>
      <c r="F14" s="369">
        <f>E14/E35*100</f>
        <v>17.668735756173756</v>
      </c>
      <c r="G14" s="378">
        <v>423.94</v>
      </c>
      <c r="H14" s="372">
        <f>G14/G32*100</f>
        <v>15.249475725082103</v>
      </c>
      <c r="I14" s="378">
        <v>360.92</v>
      </c>
      <c r="J14" s="35">
        <f>I14/I35*100</f>
        <v>15.692515054675106</v>
      </c>
    </row>
    <row r="15" spans="1:10" ht="15">
      <c r="A15" s="47"/>
      <c r="B15" s="23" t="s">
        <v>112</v>
      </c>
      <c r="C15" s="39"/>
      <c r="D15" s="11"/>
      <c r="E15" s="19"/>
      <c r="F15" s="11"/>
      <c r="G15" s="39"/>
      <c r="H15" s="7"/>
      <c r="I15" s="29"/>
      <c r="J15" s="11"/>
    </row>
    <row r="16" spans="1:10">
      <c r="A16" s="13"/>
      <c r="B16" s="8"/>
      <c r="C16" s="39"/>
      <c r="D16" s="11"/>
      <c r="E16" s="19"/>
      <c r="F16" s="11"/>
      <c r="G16" s="39"/>
      <c r="H16" s="7"/>
      <c r="I16" s="29"/>
      <c r="J16" s="11"/>
    </row>
    <row r="17" spans="1:10" ht="15">
      <c r="A17" s="47">
        <v>3</v>
      </c>
      <c r="B17" s="23" t="s">
        <v>405</v>
      </c>
      <c r="C17" s="378">
        <v>988.07</v>
      </c>
      <c r="D17" s="369">
        <f>C17/C35*100</f>
        <v>36.742700322777374</v>
      </c>
      <c r="E17" s="382">
        <v>1055</v>
      </c>
      <c r="F17" s="369">
        <f>E17/E35*100</f>
        <v>32.891352536063579</v>
      </c>
      <c r="G17" s="378">
        <v>1152.6799999999998</v>
      </c>
      <c r="H17" s="372">
        <f>G17/G32*100</f>
        <v>41.462861911562108</v>
      </c>
      <c r="I17" s="384">
        <v>1050.08</v>
      </c>
      <c r="J17" s="35">
        <f>I17/I35*100</f>
        <v>45.656644709667603</v>
      </c>
    </row>
    <row r="18" spans="1:10">
      <c r="A18" s="13"/>
      <c r="B18" s="8" t="s">
        <v>406</v>
      </c>
      <c r="C18" s="379"/>
      <c r="D18" s="363"/>
      <c r="E18" s="383"/>
      <c r="F18" s="370"/>
      <c r="G18" s="379"/>
      <c r="H18" s="373"/>
      <c r="I18" s="300"/>
      <c r="J18" s="11"/>
    </row>
    <row r="19" spans="1:10">
      <c r="A19" s="13"/>
      <c r="B19" s="8" t="s">
        <v>185</v>
      </c>
      <c r="C19" s="379"/>
      <c r="D19" s="363"/>
      <c r="E19" s="383"/>
      <c r="F19" s="370"/>
      <c r="G19" s="379"/>
      <c r="H19" s="373"/>
      <c r="I19" s="385"/>
      <c r="J19" s="11"/>
    </row>
    <row r="20" spans="1:10">
      <c r="A20" s="13"/>
      <c r="B20" s="8" t="s">
        <v>202</v>
      </c>
      <c r="C20" s="376">
        <v>38.43</v>
      </c>
      <c r="D20" s="364"/>
      <c r="E20" s="380">
        <v>38.43</v>
      </c>
      <c r="F20" s="371"/>
      <c r="G20" s="380">
        <v>38.43</v>
      </c>
      <c r="H20" s="371"/>
      <c r="I20" s="380">
        <v>38.43</v>
      </c>
      <c r="J20" s="11"/>
    </row>
    <row r="21" spans="1:10">
      <c r="A21" s="13"/>
      <c r="B21" s="8" t="s">
        <v>203</v>
      </c>
      <c r="C21" s="341">
        <v>194.37</v>
      </c>
      <c r="D21" s="365"/>
      <c r="E21" s="38">
        <v>194.37</v>
      </c>
      <c r="F21" s="28"/>
      <c r="G21" s="38">
        <v>194.37</v>
      </c>
      <c r="H21" s="28"/>
      <c r="I21" s="38">
        <v>194.37</v>
      </c>
      <c r="J21" s="11"/>
    </row>
    <row r="22" spans="1:10">
      <c r="A22" s="13"/>
      <c r="B22" s="8" t="s">
        <v>187</v>
      </c>
      <c r="C22" s="341">
        <v>30.2</v>
      </c>
      <c r="D22" s="365"/>
      <c r="E22" s="38">
        <v>30.2</v>
      </c>
      <c r="F22" s="28"/>
      <c r="G22" s="38">
        <v>30.2</v>
      </c>
      <c r="H22" s="28"/>
      <c r="I22" s="38">
        <v>30.2</v>
      </c>
      <c r="J22" s="11"/>
    </row>
    <row r="23" spans="1:10">
      <c r="A23" s="13"/>
      <c r="B23" s="8" t="s">
        <v>132</v>
      </c>
      <c r="C23" s="341">
        <v>25.01</v>
      </c>
      <c r="D23" s="365"/>
      <c r="E23" s="38">
        <v>25.01</v>
      </c>
      <c r="F23" s="28"/>
      <c r="G23" s="38">
        <v>25.01</v>
      </c>
      <c r="H23" s="28"/>
      <c r="I23" s="38">
        <v>25.01</v>
      </c>
      <c r="J23" s="11"/>
    </row>
    <row r="24" spans="1:10">
      <c r="A24" s="13"/>
      <c r="B24" s="8" t="s">
        <v>204</v>
      </c>
      <c r="C24" s="341">
        <v>28.14</v>
      </c>
      <c r="D24" s="365"/>
      <c r="E24" s="38">
        <v>28.14</v>
      </c>
      <c r="F24" s="28"/>
      <c r="G24" s="38">
        <v>28.14</v>
      </c>
      <c r="H24" s="28"/>
      <c r="I24" s="38">
        <v>28.14</v>
      </c>
      <c r="J24" s="11"/>
    </row>
    <row r="25" spans="1:10">
      <c r="A25" s="13"/>
      <c r="B25" s="8" t="s">
        <v>205</v>
      </c>
      <c r="C25" s="341">
        <v>637.98</v>
      </c>
      <c r="D25" s="365"/>
      <c r="E25" s="38">
        <v>637.98</v>
      </c>
      <c r="F25" s="28"/>
      <c r="G25" s="38">
        <v>637.98</v>
      </c>
      <c r="H25" s="28"/>
      <c r="I25" s="38">
        <v>637.98</v>
      </c>
      <c r="J25" s="11"/>
    </row>
    <row r="26" spans="1:10" ht="14.25">
      <c r="A26" s="13"/>
      <c r="B26" s="8"/>
      <c r="C26" s="381"/>
      <c r="D26" s="350"/>
      <c r="E26" s="19"/>
      <c r="F26" s="11"/>
      <c r="G26" s="39"/>
      <c r="H26" s="7"/>
      <c r="I26" s="29"/>
      <c r="J26" s="11"/>
    </row>
    <row r="27" spans="1:10">
      <c r="A27" s="13"/>
      <c r="B27" s="8" t="s">
        <v>113</v>
      </c>
      <c r="C27" s="38" t="s">
        <v>90</v>
      </c>
      <c r="D27" s="365"/>
      <c r="E27" s="38">
        <v>27.61</v>
      </c>
      <c r="F27" s="28"/>
      <c r="G27" s="38">
        <v>98.25</v>
      </c>
      <c r="H27" s="374"/>
      <c r="I27" s="43" t="s">
        <v>90</v>
      </c>
      <c r="J27" s="11"/>
    </row>
    <row r="28" spans="1:10">
      <c r="A28" s="13"/>
      <c r="B28" s="8" t="s">
        <v>176</v>
      </c>
      <c r="C28" s="377">
        <v>2.71</v>
      </c>
      <c r="D28" s="365"/>
      <c r="E28" s="38">
        <v>42.03</v>
      </c>
      <c r="F28" s="28"/>
      <c r="G28" s="38">
        <v>69.069999999999993</v>
      </c>
      <c r="H28" s="374"/>
      <c r="I28" s="38">
        <v>64.72</v>
      </c>
      <c r="J28" s="11"/>
    </row>
    <row r="29" spans="1:10">
      <c r="A29" s="13"/>
      <c r="B29" s="18" t="s">
        <v>407</v>
      </c>
      <c r="C29" s="377">
        <v>16.86</v>
      </c>
      <c r="D29" s="365"/>
      <c r="E29" s="38">
        <v>16.86</v>
      </c>
      <c r="F29" s="28"/>
      <c r="G29" s="38">
        <v>16.86</v>
      </c>
      <c r="H29" s="28"/>
      <c r="I29" s="38">
        <v>16.86</v>
      </c>
      <c r="J29" s="11"/>
    </row>
    <row r="30" spans="1:10">
      <c r="A30" s="13"/>
      <c r="B30" s="18" t="s">
        <v>408</v>
      </c>
      <c r="C30" s="377">
        <v>14.37</v>
      </c>
      <c r="D30" s="365"/>
      <c r="E30" s="38">
        <v>14.37</v>
      </c>
      <c r="F30" s="28"/>
      <c r="G30" s="38">
        <v>14.37</v>
      </c>
      <c r="H30" s="28"/>
      <c r="I30" s="38">
        <v>14.37</v>
      </c>
      <c r="J30" s="11"/>
    </row>
    <row r="31" spans="1:10">
      <c r="A31" s="13"/>
      <c r="B31" s="18"/>
      <c r="C31" s="39"/>
      <c r="D31" s="350"/>
      <c r="E31" s="19"/>
      <c r="F31" s="11"/>
      <c r="G31" s="348"/>
      <c r="H31" s="7"/>
      <c r="I31" s="29"/>
      <c r="J31" s="11"/>
    </row>
    <row r="32" spans="1:10" ht="44.25">
      <c r="A32" s="320"/>
      <c r="B32" s="354" t="s">
        <v>656</v>
      </c>
      <c r="C32" s="27">
        <f>C12+C14+C17</f>
        <v>2689.1600000000003</v>
      </c>
      <c r="D32" s="35">
        <f>SUM(D12:D17)</f>
        <v>100</v>
      </c>
      <c r="E32" s="27">
        <f>E12+E14+E17</f>
        <v>3207.5299999999997</v>
      </c>
      <c r="F32" s="35">
        <f>SUM(F12:F17)</f>
        <v>100.00000000000001</v>
      </c>
      <c r="G32" s="27">
        <f>G12+G14+G17</f>
        <v>2780.0299999999997</v>
      </c>
      <c r="H32" s="35">
        <f>SUM(H12:H31)</f>
        <v>100</v>
      </c>
      <c r="I32" s="27">
        <f>I12+I14+I17</f>
        <v>2299.9499999999998</v>
      </c>
      <c r="J32" s="35">
        <f>SUM(J12:J17)</f>
        <v>100</v>
      </c>
    </row>
    <row r="33" spans="1:10" ht="30">
      <c r="A33" s="320">
        <v>5</v>
      </c>
      <c r="B33" s="355" t="s">
        <v>658</v>
      </c>
      <c r="C33" s="349"/>
      <c r="D33" s="351"/>
      <c r="E33" s="351"/>
      <c r="F33" s="351"/>
      <c r="G33" s="386">
        <f>ROUND((G12+G14+G17-1378/2)*0.18,2)</f>
        <v>376.39</v>
      </c>
      <c r="H33" s="24"/>
      <c r="I33" s="352"/>
      <c r="J33" s="351"/>
    </row>
    <row r="34" spans="1:10" ht="15">
      <c r="A34" s="320"/>
      <c r="B34" s="355"/>
      <c r="C34" s="349"/>
      <c r="D34" s="351"/>
      <c r="E34" s="351"/>
      <c r="F34" s="351"/>
      <c r="G34" s="24"/>
      <c r="H34" s="349"/>
      <c r="I34" s="352"/>
      <c r="J34" s="351"/>
    </row>
    <row r="35" spans="1:10" ht="15">
      <c r="A35" s="320">
        <v>7</v>
      </c>
      <c r="B35" s="355" t="s">
        <v>657</v>
      </c>
      <c r="C35" s="366">
        <f>C12+C14+C17</f>
        <v>2689.1600000000003</v>
      </c>
      <c r="D35" s="367">
        <f>D12+D14+D17</f>
        <v>100</v>
      </c>
      <c r="E35" s="366">
        <f>E12+E14+E17</f>
        <v>3207.5299999999997</v>
      </c>
      <c r="F35" s="367">
        <f>F12+F14+F17</f>
        <v>100.00000000000001</v>
      </c>
      <c r="G35" s="27">
        <f>G12+G14+G17+G33+G34</f>
        <v>3156.4199999999996</v>
      </c>
      <c r="H35" s="348"/>
      <c r="I35" s="366">
        <f>I12+I14+I17</f>
        <v>2299.9499999999998</v>
      </c>
      <c r="J35" s="367">
        <f>J12+J14+J17</f>
        <v>100</v>
      </c>
    </row>
    <row r="36" spans="1:10" ht="19.5" customHeight="1">
      <c r="A36" s="46"/>
      <c r="B36" s="45" t="s">
        <v>608</v>
      </c>
      <c r="C36" s="368"/>
      <c r="D36" s="368"/>
      <c r="E36" s="368"/>
      <c r="F36" s="387">
        <f>(C32*6.5+E32*11.38+G32*58.42+I32*23.7)/100</f>
        <v>2708.9939899999999</v>
      </c>
      <c r="G36" s="410">
        <f>(C32*6.5+E32*11.38+G35*58.42+I32*23.7)/100</f>
        <v>2928.8810279999993</v>
      </c>
      <c r="H36" s="388" t="s">
        <v>664</v>
      </c>
      <c r="I36" s="389"/>
      <c r="J36" s="390"/>
    </row>
  </sheetData>
  <mergeCells count="4">
    <mergeCell ref="H36:J36"/>
    <mergeCell ref="B1:J1"/>
    <mergeCell ref="B2:J2"/>
    <mergeCell ref="B3:I3"/>
  </mergeCells>
  <phoneticPr fontId="30" type="noConversion"/>
  <printOptions horizontalCentered="1"/>
  <pageMargins left="0.43307086614173229" right="0.23622047244094491" top="0.27559055118110237" bottom="0.23622047244094491" header="0.27559055118110237" footer="0.19685039370078741"/>
  <pageSetup paperSize="9" scale="93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40" zoomScale="75" workbookViewId="0">
      <selection activeCell="E6" sqref="E6"/>
    </sheetView>
  </sheetViews>
  <sheetFormatPr defaultRowHeight="12.75"/>
  <cols>
    <col min="1" max="1" width="6.28515625" style="51" customWidth="1"/>
    <col min="2" max="2" width="37.5703125" customWidth="1"/>
    <col min="3" max="3" width="7.140625" style="34" customWidth="1"/>
    <col min="4" max="4" width="19.7109375" customWidth="1"/>
    <col min="5" max="5" width="9.7109375" customWidth="1"/>
    <col min="6" max="6" width="12.7109375" customWidth="1"/>
  </cols>
  <sheetData>
    <row r="1" spans="1:6" ht="15.75">
      <c r="A1" s="401" t="s">
        <v>630</v>
      </c>
      <c r="B1" s="401"/>
      <c r="C1" s="401"/>
      <c r="D1" s="401"/>
      <c r="E1" s="401"/>
      <c r="F1" s="401"/>
    </row>
    <row r="2" spans="1:6" ht="15.75">
      <c r="A2" s="402" t="s">
        <v>416</v>
      </c>
      <c r="B2" s="402"/>
      <c r="C2" s="402"/>
      <c r="D2" s="402"/>
      <c r="E2" s="402"/>
      <c r="F2" s="402"/>
    </row>
    <row r="3" spans="1:6">
      <c r="A3" s="107" t="s">
        <v>42</v>
      </c>
      <c r="B3" s="250" t="s">
        <v>302</v>
      </c>
      <c r="C3" s="68" t="s">
        <v>92</v>
      </c>
      <c r="D3" s="82" t="s">
        <v>97</v>
      </c>
      <c r="E3" s="82" t="s">
        <v>94</v>
      </c>
      <c r="F3" s="68" t="s">
        <v>107</v>
      </c>
    </row>
    <row r="4" spans="1:6">
      <c r="A4" s="248" t="s">
        <v>373</v>
      </c>
      <c r="B4" s="110" t="s">
        <v>112</v>
      </c>
      <c r="C4" s="73" t="s">
        <v>81</v>
      </c>
      <c r="D4" s="80" t="s">
        <v>98</v>
      </c>
      <c r="E4" s="80" t="s">
        <v>95</v>
      </c>
      <c r="F4" s="73" t="s">
        <v>105</v>
      </c>
    </row>
    <row r="5" spans="1:6">
      <c r="A5" s="248"/>
      <c r="B5" s="269"/>
      <c r="C5" s="73"/>
      <c r="D5" s="80" t="s">
        <v>226</v>
      </c>
      <c r="E5" s="80" t="s">
        <v>666</v>
      </c>
      <c r="F5" s="75"/>
    </row>
    <row r="6" spans="1:6">
      <c r="A6" s="248"/>
      <c r="B6" s="106"/>
      <c r="C6" s="80"/>
      <c r="D6" s="80" t="s">
        <v>101</v>
      </c>
      <c r="E6" s="80" t="s">
        <v>665</v>
      </c>
      <c r="F6" s="75"/>
    </row>
    <row r="7" spans="1:6">
      <c r="A7" s="76"/>
      <c r="B7" s="59"/>
      <c r="C7" s="80"/>
      <c r="D7" s="134">
        <v>50</v>
      </c>
      <c r="E7" s="73"/>
      <c r="F7" s="75"/>
    </row>
    <row r="8" spans="1:6">
      <c r="A8" s="129"/>
      <c r="B8" s="130"/>
      <c r="C8" s="131"/>
      <c r="D8" s="270">
        <v>50</v>
      </c>
      <c r="E8" s="305" t="s">
        <v>655</v>
      </c>
      <c r="F8" s="150" t="s">
        <v>655</v>
      </c>
    </row>
    <row r="9" spans="1:6" ht="14.25">
      <c r="A9" s="271"/>
      <c r="B9" s="120" t="s">
        <v>127</v>
      </c>
      <c r="C9" s="103"/>
      <c r="D9" s="269"/>
      <c r="E9" s="108"/>
      <c r="F9" s="106"/>
    </row>
    <row r="10" spans="1:6" ht="14.25">
      <c r="A10" s="251"/>
      <c r="B10" s="95" t="s">
        <v>128</v>
      </c>
      <c r="C10" s="73"/>
      <c r="D10" s="269"/>
      <c r="E10" s="106"/>
      <c r="F10" s="272">
        <f>F12+F15+F19+F34+F43+F47+F52+F58+F61+F64+F71</f>
        <v>2658.6084047619047</v>
      </c>
    </row>
    <row r="11" spans="1:6">
      <c r="A11" s="251"/>
      <c r="B11" s="249"/>
      <c r="C11" s="73"/>
      <c r="D11" s="269"/>
      <c r="E11" s="106"/>
      <c r="F11" s="273"/>
    </row>
    <row r="12" spans="1:6" ht="14.25">
      <c r="A12" s="271">
        <v>1</v>
      </c>
      <c r="B12" s="120" t="s">
        <v>10</v>
      </c>
      <c r="C12" s="193"/>
      <c r="D12" s="269"/>
      <c r="E12" s="272"/>
      <c r="F12" s="272">
        <f>F13+F14</f>
        <v>167.64</v>
      </c>
    </row>
    <row r="13" spans="1:6">
      <c r="A13" s="251" t="s">
        <v>424</v>
      </c>
      <c r="B13" s="274" t="s">
        <v>297</v>
      </c>
      <c r="C13" s="103" t="s">
        <v>88</v>
      </c>
      <c r="D13" s="275">
        <f>1/4*$D$7/100</f>
        <v>0.125</v>
      </c>
      <c r="E13" s="89">
        <v>833.37</v>
      </c>
      <c r="F13" s="273">
        <f>E13*D13</f>
        <v>104.17125</v>
      </c>
    </row>
    <row r="14" spans="1:6">
      <c r="A14" s="251" t="s">
        <v>425</v>
      </c>
      <c r="B14" s="274" t="s">
        <v>587</v>
      </c>
      <c r="C14" s="103" t="s">
        <v>88</v>
      </c>
      <c r="D14" s="275">
        <f>1/8*$D$8/100</f>
        <v>6.25E-2</v>
      </c>
      <c r="E14" s="89">
        <v>1015.5</v>
      </c>
      <c r="F14" s="273">
        <f>E14*D14</f>
        <v>63.46875</v>
      </c>
    </row>
    <row r="15" spans="1:6" ht="14.25">
      <c r="A15" s="271" t="s">
        <v>435</v>
      </c>
      <c r="B15" s="120" t="s">
        <v>578</v>
      </c>
      <c r="C15" s="193"/>
      <c r="D15" s="276"/>
      <c r="E15" s="89"/>
      <c r="F15" s="272">
        <f>F16+F17+F18</f>
        <v>301.84714285714284</v>
      </c>
    </row>
    <row r="16" spans="1:6">
      <c r="A16" s="251" t="s">
        <v>494</v>
      </c>
      <c r="B16" s="274" t="s">
        <v>587</v>
      </c>
      <c r="C16" s="103" t="s">
        <v>88</v>
      </c>
      <c r="D16" s="275">
        <f>1/7*$D$8/100</f>
        <v>7.1428571428571425E-2</v>
      </c>
      <c r="E16" s="89">
        <v>2304.64</v>
      </c>
      <c r="F16" s="273">
        <f>E16*D16</f>
        <v>164.61714285714285</v>
      </c>
    </row>
    <row r="17" spans="1:6">
      <c r="A17" s="251" t="s">
        <v>495</v>
      </c>
      <c r="B17" s="274" t="s">
        <v>71</v>
      </c>
      <c r="C17" s="103" t="s">
        <v>88</v>
      </c>
      <c r="D17" s="275">
        <f>1/5*$D$7/100</f>
        <v>0.1</v>
      </c>
      <c r="E17" s="89">
        <v>721.54</v>
      </c>
      <c r="F17" s="273">
        <f>E17*D17</f>
        <v>72.153999999999996</v>
      </c>
    </row>
    <row r="18" spans="1:6">
      <c r="A18" s="251" t="s">
        <v>496</v>
      </c>
      <c r="B18" s="274" t="s">
        <v>72</v>
      </c>
      <c r="C18" s="103" t="s">
        <v>88</v>
      </c>
      <c r="D18" s="275">
        <f>1/5*$D$8/100</f>
        <v>0.1</v>
      </c>
      <c r="E18" s="89">
        <v>650.76</v>
      </c>
      <c r="F18" s="273">
        <f>E18*D18</f>
        <v>65.076000000000008</v>
      </c>
    </row>
    <row r="19" spans="1:6" ht="14.25">
      <c r="A19" s="271" t="s">
        <v>436</v>
      </c>
      <c r="B19" s="120" t="s">
        <v>20</v>
      </c>
      <c r="C19" s="193"/>
      <c r="D19" s="276"/>
      <c r="E19" s="89"/>
      <c r="F19" s="272">
        <f>F20+F21+F22+F23+F25+F26+F27+F28+F29+F30+F31+F32+F33</f>
        <v>891.43674999999996</v>
      </c>
    </row>
    <row r="20" spans="1:6">
      <c r="A20" s="251" t="s">
        <v>478</v>
      </c>
      <c r="B20" s="274" t="s">
        <v>225</v>
      </c>
      <c r="C20" s="103" t="s">
        <v>88</v>
      </c>
      <c r="D20" s="275">
        <f>1/5*$D$7/100</f>
        <v>0.1</v>
      </c>
      <c r="E20" s="89">
        <v>1265.57</v>
      </c>
      <c r="F20" s="273">
        <f>E20*D20</f>
        <v>126.557</v>
      </c>
    </row>
    <row r="21" spans="1:6">
      <c r="A21" s="251" t="s">
        <v>479</v>
      </c>
      <c r="B21" s="274" t="s">
        <v>604</v>
      </c>
      <c r="C21" s="103" t="s">
        <v>88</v>
      </c>
      <c r="D21" s="275">
        <f>5/4*$D$7/100</f>
        <v>0.625</v>
      </c>
      <c r="E21" s="89">
        <v>217.48</v>
      </c>
      <c r="F21" s="273">
        <f>E21*D21</f>
        <v>135.92499999999998</v>
      </c>
    </row>
    <row r="22" spans="1:6">
      <c r="A22" s="251" t="s">
        <v>480</v>
      </c>
      <c r="B22" s="274" t="s">
        <v>73</v>
      </c>
      <c r="C22" s="103" t="s">
        <v>88</v>
      </c>
      <c r="D22" s="275">
        <f>1/4*$D$7/100</f>
        <v>0.125</v>
      </c>
      <c r="E22" s="89">
        <v>334.99</v>
      </c>
      <c r="F22" s="273">
        <f>E22*D22</f>
        <v>41.873750000000001</v>
      </c>
    </row>
    <row r="23" spans="1:6">
      <c r="A23" s="251" t="s">
        <v>481</v>
      </c>
      <c r="B23" s="274" t="s">
        <v>326</v>
      </c>
      <c r="C23" s="103" t="s">
        <v>88</v>
      </c>
      <c r="D23" s="275">
        <f>1/3*$D$7/100</f>
        <v>0.16666666666666663</v>
      </c>
      <c r="E23" s="89">
        <v>852.43</v>
      </c>
      <c r="F23" s="273">
        <f>E23*D23</f>
        <v>142.07166666666663</v>
      </c>
    </row>
    <row r="24" spans="1:6">
      <c r="A24" s="251"/>
      <c r="B24" s="274" t="s">
        <v>327</v>
      </c>
      <c r="C24" s="103"/>
      <c r="D24" s="275"/>
      <c r="E24" s="89"/>
      <c r="F24" s="272"/>
    </row>
    <row r="25" spans="1:6">
      <c r="A25" s="251" t="s">
        <v>482</v>
      </c>
      <c r="B25" s="274" t="s">
        <v>643</v>
      </c>
      <c r="C25" s="103" t="s">
        <v>88</v>
      </c>
      <c r="D25" s="275">
        <f>1/3*$D$7/100</f>
        <v>0.16666666666666663</v>
      </c>
      <c r="E25" s="89">
        <v>294.10000000000002</v>
      </c>
      <c r="F25" s="272">
        <f t="shared" ref="F25:F33" si="0">E25*D25</f>
        <v>49.016666666666659</v>
      </c>
    </row>
    <row r="26" spans="1:6">
      <c r="A26" s="251" t="s">
        <v>483</v>
      </c>
      <c r="B26" s="274" t="s">
        <v>644</v>
      </c>
      <c r="C26" s="103"/>
      <c r="D26" s="275">
        <f>1/3*$D$8/100</f>
        <v>0.16666666666666663</v>
      </c>
      <c r="E26" s="89">
        <v>260.06</v>
      </c>
      <c r="F26" s="272">
        <f t="shared" si="0"/>
        <v>43.343333333333327</v>
      </c>
    </row>
    <row r="27" spans="1:6">
      <c r="A27" s="251" t="s">
        <v>500</v>
      </c>
      <c r="B27" s="274" t="s">
        <v>74</v>
      </c>
      <c r="C27" s="103" t="s">
        <v>88</v>
      </c>
      <c r="D27" s="275">
        <f>1/5*$D$8/100</f>
        <v>0.1</v>
      </c>
      <c r="E27" s="89">
        <v>430.48</v>
      </c>
      <c r="F27" s="273">
        <f t="shared" si="0"/>
        <v>43.048000000000002</v>
      </c>
    </row>
    <row r="28" spans="1:6">
      <c r="A28" s="251" t="s">
        <v>501</v>
      </c>
      <c r="B28" s="274" t="s">
        <v>75</v>
      </c>
      <c r="C28" s="103" t="s">
        <v>88</v>
      </c>
      <c r="D28" s="275">
        <f>1/3*$D$8/100</f>
        <v>0.16666666666666663</v>
      </c>
      <c r="E28" s="89">
        <v>192.11</v>
      </c>
      <c r="F28" s="273">
        <f t="shared" si="0"/>
        <v>32.018333333333331</v>
      </c>
    </row>
    <row r="29" spans="1:6">
      <c r="A29" s="251" t="s">
        <v>528</v>
      </c>
      <c r="B29" s="274" t="s">
        <v>76</v>
      </c>
      <c r="C29" s="103" t="s">
        <v>88</v>
      </c>
      <c r="D29" s="275">
        <f>1/5*$D$8/100</f>
        <v>0.1</v>
      </c>
      <c r="E29" s="89">
        <v>192.11</v>
      </c>
      <c r="F29" s="273">
        <f t="shared" si="0"/>
        <v>19.211000000000002</v>
      </c>
    </row>
    <row r="30" spans="1:6">
      <c r="A30" s="251" t="s">
        <v>529</v>
      </c>
      <c r="B30" s="274" t="s">
        <v>342</v>
      </c>
      <c r="C30" s="103" t="s">
        <v>88</v>
      </c>
      <c r="D30" s="275">
        <f>3/5*$D$8/100</f>
        <v>0.3</v>
      </c>
      <c r="E30" s="89">
        <v>244.37</v>
      </c>
      <c r="F30" s="273">
        <f t="shared" si="0"/>
        <v>73.310999999999993</v>
      </c>
    </row>
    <row r="31" spans="1:6">
      <c r="A31" s="251" t="s">
        <v>530</v>
      </c>
      <c r="B31" s="274" t="s">
        <v>296</v>
      </c>
      <c r="C31" s="103" t="s">
        <v>88</v>
      </c>
      <c r="D31" s="275">
        <f>1/5*$D$8/100</f>
        <v>0.1</v>
      </c>
      <c r="E31" s="89">
        <v>296.81</v>
      </c>
      <c r="F31" s="273">
        <f t="shared" si="0"/>
        <v>29.681000000000001</v>
      </c>
    </row>
    <row r="32" spans="1:6">
      <c r="A32" s="251" t="s">
        <v>652</v>
      </c>
      <c r="B32" s="274" t="s">
        <v>649</v>
      </c>
      <c r="C32" s="103" t="s">
        <v>88</v>
      </c>
      <c r="D32" s="276">
        <f>1/3*$D$7/100</f>
        <v>0.16666666666666663</v>
      </c>
      <c r="E32" s="89">
        <v>465.02</v>
      </c>
      <c r="F32" s="272">
        <f t="shared" si="0"/>
        <v>77.503333333333316</v>
      </c>
    </row>
    <row r="33" spans="1:6">
      <c r="A33" s="51" t="s">
        <v>645</v>
      </c>
      <c r="B33" s="274" t="s">
        <v>653</v>
      </c>
      <c r="C33" s="103" t="s">
        <v>88</v>
      </c>
      <c r="D33" s="276">
        <f>1/3*$D$8/100</f>
        <v>0.16666666666666663</v>
      </c>
      <c r="E33" s="89">
        <v>467.26</v>
      </c>
      <c r="F33" s="272">
        <f t="shared" si="0"/>
        <v>77.876666666666651</v>
      </c>
    </row>
    <row r="34" spans="1:6" ht="14.25">
      <c r="A34" s="271" t="s">
        <v>437</v>
      </c>
      <c r="B34" s="120" t="s">
        <v>12</v>
      </c>
      <c r="C34" s="193"/>
      <c r="D34" s="276"/>
      <c r="E34" s="89"/>
      <c r="F34" s="272">
        <f>F35+F36+F37+F38+F39+F40+F41+F42</f>
        <v>311.79041666666666</v>
      </c>
    </row>
    <row r="35" spans="1:6">
      <c r="A35" s="251" t="s">
        <v>438</v>
      </c>
      <c r="B35" s="274" t="s">
        <v>77</v>
      </c>
      <c r="C35" s="103" t="s">
        <v>88</v>
      </c>
      <c r="D35" s="275">
        <f>5/2*$D$7/100</f>
        <v>1.25</v>
      </c>
      <c r="E35" s="89">
        <v>46.07</v>
      </c>
      <c r="F35" s="273">
        <f t="shared" ref="F35:F42" si="1">E35*D35</f>
        <v>57.587499999999999</v>
      </c>
    </row>
    <row r="36" spans="1:6">
      <c r="A36" s="251" t="s">
        <v>439</v>
      </c>
      <c r="B36" s="274" t="s">
        <v>588</v>
      </c>
      <c r="C36" s="103" t="s">
        <v>88</v>
      </c>
      <c r="D36" s="269">
        <f>2/1*$D$7/100</f>
        <v>1</v>
      </c>
      <c r="E36" s="89">
        <v>60.23</v>
      </c>
      <c r="F36" s="273">
        <f t="shared" si="1"/>
        <v>60.23</v>
      </c>
    </row>
    <row r="37" spans="1:6">
      <c r="A37" s="251" t="s">
        <v>440</v>
      </c>
      <c r="B37" s="274" t="s">
        <v>78</v>
      </c>
      <c r="C37" s="103" t="s">
        <v>88</v>
      </c>
      <c r="D37" s="275">
        <f>5/2*$D$8/100</f>
        <v>1.25</v>
      </c>
      <c r="E37" s="89">
        <v>37.18</v>
      </c>
      <c r="F37" s="273">
        <f t="shared" si="1"/>
        <v>46.475000000000001</v>
      </c>
    </row>
    <row r="38" spans="1:6">
      <c r="A38" s="251" t="s">
        <v>441</v>
      </c>
      <c r="B38" s="274" t="s">
        <v>22</v>
      </c>
      <c r="C38" s="103" t="s">
        <v>88</v>
      </c>
      <c r="D38" s="275">
        <f>2/2*$D$8/100</f>
        <v>0.5</v>
      </c>
      <c r="E38" s="89">
        <v>112.32</v>
      </c>
      <c r="F38" s="273">
        <f t="shared" si="1"/>
        <v>56.16</v>
      </c>
    </row>
    <row r="39" spans="1:6">
      <c r="A39" s="251" t="s">
        <v>442</v>
      </c>
      <c r="B39" s="274" t="s">
        <v>30</v>
      </c>
      <c r="C39" s="103" t="s">
        <v>88</v>
      </c>
      <c r="D39" s="275">
        <f>2/3*$D$8/100</f>
        <v>0.33333333333333326</v>
      </c>
      <c r="E39" s="89">
        <v>118.67</v>
      </c>
      <c r="F39" s="273">
        <f t="shared" si="1"/>
        <v>39.556666666666658</v>
      </c>
    </row>
    <row r="40" spans="1:6">
      <c r="A40" s="251" t="s">
        <v>443</v>
      </c>
      <c r="B40" s="274" t="s">
        <v>21</v>
      </c>
      <c r="C40" s="103" t="s">
        <v>88</v>
      </c>
      <c r="D40" s="275">
        <f>2/4*$D$8/100</f>
        <v>0.25</v>
      </c>
      <c r="E40" s="89">
        <v>82.51</v>
      </c>
      <c r="F40" s="273">
        <f t="shared" si="1"/>
        <v>20.627500000000001</v>
      </c>
    </row>
    <row r="41" spans="1:6">
      <c r="A41" s="251" t="s">
        <v>444</v>
      </c>
      <c r="B41" s="274" t="s">
        <v>329</v>
      </c>
      <c r="C41" s="103" t="s">
        <v>88</v>
      </c>
      <c r="D41" s="275">
        <f>(1/10*$D$7)/100</f>
        <v>0.05</v>
      </c>
      <c r="E41" s="89">
        <v>87.05</v>
      </c>
      <c r="F41" s="273">
        <f t="shared" si="1"/>
        <v>4.3525</v>
      </c>
    </row>
    <row r="42" spans="1:6">
      <c r="A42" s="251" t="s">
        <v>531</v>
      </c>
      <c r="B42" s="274" t="s">
        <v>328</v>
      </c>
      <c r="C42" s="103" t="s">
        <v>88</v>
      </c>
      <c r="D42" s="275">
        <f>(1/4*$D$8)/100</f>
        <v>0.125</v>
      </c>
      <c r="E42" s="89">
        <v>214.41</v>
      </c>
      <c r="F42" s="273">
        <f t="shared" si="1"/>
        <v>26.80125</v>
      </c>
    </row>
    <row r="43" spans="1:6" ht="14.25">
      <c r="A43" s="271" t="s">
        <v>445</v>
      </c>
      <c r="B43" s="120" t="s">
        <v>14</v>
      </c>
      <c r="C43" s="193"/>
      <c r="D43" s="276"/>
      <c r="E43" s="89"/>
      <c r="F43" s="272">
        <f>F44+F45+F46</f>
        <v>197.9025</v>
      </c>
    </row>
    <row r="44" spans="1:6">
      <c r="A44" s="251" t="s">
        <v>446</v>
      </c>
      <c r="B44" s="274" t="s">
        <v>27</v>
      </c>
      <c r="C44" s="103" t="s">
        <v>88</v>
      </c>
      <c r="D44" s="275">
        <f>7/1*$D$7/100</f>
        <v>3.5</v>
      </c>
      <c r="E44" s="89">
        <v>28.54</v>
      </c>
      <c r="F44" s="273">
        <f>E44*D44</f>
        <v>99.89</v>
      </c>
    </row>
    <row r="45" spans="1:6">
      <c r="A45" s="251" t="s">
        <v>447</v>
      </c>
      <c r="B45" s="274" t="s">
        <v>25</v>
      </c>
      <c r="C45" s="103" t="s">
        <v>88</v>
      </c>
      <c r="D45" s="275">
        <f>6/2*$D$8/100</f>
        <v>1.5</v>
      </c>
      <c r="E45" s="89">
        <v>57.65</v>
      </c>
      <c r="F45" s="273">
        <f>E45*D45</f>
        <v>86.474999999999994</v>
      </c>
    </row>
    <row r="46" spans="1:6">
      <c r="A46" s="251" t="s">
        <v>448</v>
      </c>
      <c r="B46" s="274" t="s">
        <v>227</v>
      </c>
      <c r="C46" s="103" t="s">
        <v>88</v>
      </c>
      <c r="D46" s="275">
        <f>1/4*$D$8/100</f>
        <v>0.125</v>
      </c>
      <c r="E46" s="89">
        <v>92.3</v>
      </c>
      <c r="F46" s="273">
        <f>E46*D46</f>
        <v>11.5375</v>
      </c>
    </row>
    <row r="47" spans="1:6" ht="14.25">
      <c r="A47" s="271" t="s">
        <v>452</v>
      </c>
      <c r="B47" s="120" t="s">
        <v>15</v>
      </c>
      <c r="C47" s="193"/>
      <c r="D47" s="276"/>
      <c r="E47" s="89"/>
      <c r="F47" s="272">
        <f>F48+F49+F51</f>
        <v>53.49166666666666</v>
      </c>
    </row>
    <row r="48" spans="1:6">
      <c r="A48" s="251" t="s">
        <v>513</v>
      </c>
      <c r="B48" s="274" t="s">
        <v>339</v>
      </c>
      <c r="C48" s="103" t="s">
        <v>88</v>
      </c>
      <c r="D48" s="275">
        <f>1/6*$D$7/100</f>
        <v>8.3333333333333315E-2</v>
      </c>
      <c r="E48" s="89">
        <v>123.48</v>
      </c>
      <c r="F48" s="273">
        <f>E48*D48</f>
        <v>10.289999999999997</v>
      </c>
    </row>
    <row r="49" spans="1:6">
      <c r="A49" s="251" t="s">
        <v>514</v>
      </c>
      <c r="B49" s="274" t="s">
        <v>210</v>
      </c>
      <c r="C49" s="103" t="s">
        <v>211</v>
      </c>
      <c r="D49" s="275">
        <f>(1/6*$D$7+1/4*$D$8)/100</f>
        <v>0.20833333333333331</v>
      </c>
      <c r="E49" s="89">
        <v>181.82</v>
      </c>
      <c r="F49" s="273">
        <f>E49*D49</f>
        <v>37.879166666666663</v>
      </c>
    </row>
    <row r="50" spans="1:6">
      <c r="A50" s="251"/>
      <c r="B50" s="274" t="s">
        <v>264</v>
      </c>
      <c r="C50" s="103"/>
      <c r="D50" s="275"/>
      <c r="E50" s="89"/>
      <c r="F50" s="273"/>
    </row>
    <row r="51" spans="1:6">
      <c r="A51" s="251" t="s">
        <v>515</v>
      </c>
      <c r="B51" s="274" t="s">
        <v>228</v>
      </c>
      <c r="C51" s="103" t="s">
        <v>88</v>
      </c>
      <c r="D51" s="275">
        <f>1/4*$D$8/100</f>
        <v>0.125</v>
      </c>
      <c r="E51" s="89">
        <v>42.58</v>
      </c>
      <c r="F51" s="273">
        <f>E51*D51</f>
        <v>5.3224999999999998</v>
      </c>
    </row>
    <row r="52" spans="1:6" ht="14.25">
      <c r="A52" s="271" t="s">
        <v>453</v>
      </c>
      <c r="B52" s="120" t="s">
        <v>16</v>
      </c>
      <c r="C52" s="193"/>
      <c r="D52" s="276"/>
      <c r="E52" s="89"/>
      <c r="F52" s="272">
        <f>F53+F55+F56+F57</f>
        <v>79.486333333333306</v>
      </c>
    </row>
    <row r="53" spans="1:6">
      <c r="A53" s="251" t="s">
        <v>454</v>
      </c>
      <c r="B53" s="274" t="s">
        <v>364</v>
      </c>
      <c r="C53" s="103" t="s">
        <v>88</v>
      </c>
      <c r="D53" s="275">
        <f>(1/3*$D$7+2/3*$D$8)/100</f>
        <v>0.49999999999999994</v>
      </c>
      <c r="E53" s="89">
        <v>43.01</v>
      </c>
      <c r="F53" s="273">
        <f>E53*D53</f>
        <v>21.504999999999995</v>
      </c>
    </row>
    <row r="54" spans="1:6">
      <c r="A54" s="251"/>
      <c r="B54" s="274" t="s">
        <v>212</v>
      </c>
      <c r="C54" s="103"/>
      <c r="D54" s="275"/>
      <c r="E54" s="89"/>
      <c r="F54" s="273"/>
    </row>
    <row r="55" spans="1:6">
      <c r="A55" s="251" t="s">
        <v>455</v>
      </c>
      <c r="B55" s="274" t="s">
        <v>231</v>
      </c>
      <c r="C55" s="103" t="s">
        <v>88</v>
      </c>
      <c r="D55" s="275">
        <f>1/10*$D$7/100</f>
        <v>0.05</v>
      </c>
      <c r="E55" s="89">
        <v>77.849999999999994</v>
      </c>
      <c r="F55" s="273">
        <f>E55*D55</f>
        <v>3.8925000000000001</v>
      </c>
    </row>
    <row r="56" spans="1:6">
      <c r="A56" s="251" t="s">
        <v>456</v>
      </c>
      <c r="B56" s="274" t="s">
        <v>232</v>
      </c>
      <c r="C56" s="103" t="s">
        <v>88</v>
      </c>
      <c r="D56" s="275">
        <f>1/6*$D$7/100</f>
        <v>8.3333333333333315E-2</v>
      </c>
      <c r="E56" s="89">
        <v>428.95</v>
      </c>
      <c r="F56" s="273">
        <f>E56*D56</f>
        <v>35.745833333333323</v>
      </c>
    </row>
    <row r="57" spans="1:6">
      <c r="A57" s="251" t="s">
        <v>457</v>
      </c>
      <c r="B57" s="274" t="s">
        <v>589</v>
      </c>
      <c r="C57" s="103"/>
      <c r="D57" s="275"/>
      <c r="E57" s="89"/>
      <c r="F57" s="273">
        <f>(F53+F55+F56)*0.3</f>
        <v>18.342999999999993</v>
      </c>
    </row>
    <row r="58" spans="1:6" ht="14.25">
      <c r="A58" s="271" t="s">
        <v>458</v>
      </c>
      <c r="B58" s="120" t="s">
        <v>17</v>
      </c>
      <c r="C58" s="193"/>
      <c r="D58" s="276"/>
      <c r="E58" s="89"/>
      <c r="F58" s="272">
        <f>F59+F60</f>
        <v>110.983</v>
      </c>
    </row>
    <row r="59" spans="1:6">
      <c r="A59" s="251" t="s">
        <v>459</v>
      </c>
      <c r="B59" s="274" t="s">
        <v>605</v>
      </c>
      <c r="C59" s="103" t="s">
        <v>335</v>
      </c>
      <c r="D59" s="275">
        <f>1/5*$D$7/100</f>
        <v>0.1</v>
      </c>
      <c r="E59" s="89">
        <v>560.41</v>
      </c>
      <c r="F59" s="273">
        <f>E59*D59</f>
        <v>56.040999999999997</v>
      </c>
    </row>
    <row r="60" spans="1:6">
      <c r="A60" s="251" t="s">
        <v>460</v>
      </c>
      <c r="B60" s="274" t="s">
        <v>590</v>
      </c>
      <c r="C60" s="103" t="s">
        <v>335</v>
      </c>
      <c r="D60" s="275">
        <f>1/5*$D$8/100</f>
        <v>0.1</v>
      </c>
      <c r="E60" s="89">
        <v>549.41999999999996</v>
      </c>
      <c r="F60" s="273">
        <f>E60*D60</f>
        <v>54.942</v>
      </c>
    </row>
    <row r="61" spans="1:6" ht="14.25">
      <c r="A61" s="271" t="s">
        <v>465</v>
      </c>
      <c r="B61" s="120" t="s">
        <v>18</v>
      </c>
      <c r="C61" s="103"/>
      <c r="D61" s="276"/>
      <c r="E61" s="89"/>
      <c r="F61" s="272">
        <f>F62+F63</f>
        <v>176.19150000000002</v>
      </c>
    </row>
    <row r="62" spans="1:6">
      <c r="A62" s="251" t="s">
        <v>486</v>
      </c>
      <c r="B62" s="274" t="s">
        <v>213</v>
      </c>
      <c r="C62" s="103" t="s">
        <v>335</v>
      </c>
      <c r="D62" s="275">
        <f>2/5*$D$7/100</f>
        <v>0.2</v>
      </c>
      <c r="E62" s="89">
        <v>451.07</v>
      </c>
      <c r="F62" s="273">
        <f>E62*D62</f>
        <v>90.213999999999999</v>
      </c>
    </row>
    <row r="63" spans="1:6">
      <c r="A63" s="251" t="s">
        <v>487</v>
      </c>
      <c r="B63" s="274" t="s">
        <v>591</v>
      </c>
      <c r="C63" s="103" t="s">
        <v>335</v>
      </c>
      <c r="D63" s="275">
        <f>1/2*$D$8/100</f>
        <v>0.25</v>
      </c>
      <c r="E63" s="89">
        <v>343.91</v>
      </c>
      <c r="F63" s="273">
        <f>E63*D63</f>
        <v>85.977500000000006</v>
      </c>
    </row>
    <row r="64" spans="1:6" ht="14.25">
      <c r="A64" s="271" t="s">
        <v>466</v>
      </c>
      <c r="B64" s="120" t="s">
        <v>642</v>
      </c>
      <c r="C64" s="103"/>
      <c r="D64" s="276"/>
      <c r="E64" s="89"/>
      <c r="F64" s="272">
        <f>F65+F66+F67+F68+F69+F70</f>
        <v>325.81766666666658</v>
      </c>
    </row>
    <row r="65" spans="1:6">
      <c r="A65" s="251" t="s">
        <v>467</v>
      </c>
      <c r="B65" s="274" t="s">
        <v>28</v>
      </c>
      <c r="C65" s="103" t="s">
        <v>335</v>
      </c>
      <c r="D65" s="275">
        <f>1/3*$D$7/100</f>
        <v>0.16666666666666663</v>
      </c>
      <c r="E65" s="89">
        <v>390.28</v>
      </c>
      <c r="F65" s="273">
        <f t="shared" ref="F65:F71" si="2">E65*D65</f>
        <v>65.046666666666653</v>
      </c>
    </row>
    <row r="66" spans="1:6">
      <c r="A66" s="251" t="s">
        <v>468</v>
      </c>
      <c r="B66" s="274" t="s">
        <v>343</v>
      </c>
      <c r="C66" s="103" t="s">
        <v>335</v>
      </c>
      <c r="D66" s="275">
        <f>2/5*$D$7/100</f>
        <v>0.2</v>
      </c>
      <c r="E66" s="89">
        <v>391.13</v>
      </c>
      <c r="F66" s="273">
        <f t="shared" si="2"/>
        <v>78.225999999999999</v>
      </c>
    </row>
    <row r="67" spans="1:6">
      <c r="A67" s="251" t="s">
        <v>489</v>
      </c>
      <c r="B67" s="274" t="s">
        <v>592</v>
      </c>
      <c r="C67" s="103" t="s">
        <v>335</v>
      </c>
      <c r="D67" s="275">
        <f>1/1.5*$D$8/100</f>
        <v>0.33333333333333326</v>
      </c>
      <c r="E67" s="89">
        <v>295.93</v>
      </c>
      <c r="F67" s="273">
        <f t="shared" si="2"/>
        <v>98.643333333333317</v>
      </c>
    </row>
    <row r="68" spans="1:6">
      <c r="A68" s="251" t="s">
        <v>490</v>
      </c>
      <c r="B68" s="274" t="s">
        <v>593</v>
      </c>
      <c r="C68" s="103" t="s">
        <v>335</v>
      </c>
      <c r="D68" s="275">
        <f>1/3*$D$8/100</f>
        <v>0.16666666666666663</v>
      </c>
      <c r="E68" s="89">
        <v>200.17</v>
      </c>
      <c r="F68" s="273">
        <f t="shared" si="2"/>
        <v>33.361666666666657</v>
      </c>
    </row>
    <row r="69" spans="1:6">
      <c r="A69" s="251" t="s">
        <v>491</v>
      </c>
      <c r="B69" s="274" t="s">
        <v>651</v>
      </c>
      <c r="C69" s="103" t="s">
        <v>335</v>
      </c>
      <c r="D69" s="275">
        <f>1/3*$D$7/100</f>
        <v>0.16666666666666663</v>
      </c>
      <c r="E69" s="163">
        <v>155.80000000000001</v>
      </c>
      <c r="F69" s="273">
        <f t="shared" si="2"/>
        <v>25.966666666666661</v>
      </c>
    </row>
    <row r="70" spans="1:6">
      <c r="A70" s="251" t="s">
        <v>492</v>
      </c>
      <c r="B70" s="274" t="s">
        <v>650</v>
      </c>
      <c r="C70" s="103" t="s">
        <v>335</v>
      </c>
      <c r="D70" s="275">
        <f>1/3*$D$8/100</f>
        <v>0.16666666666666663</v>
      </c>
      <c r="E70" s="163">
        <v>147.44</v>
      </c>
      <c r="F70" s="273">
        <f t="shared" si="2"/>
        <v>24.573333333333327</v>
      </c>
    </row>
    <row r="71" spans="1:6" ht="14.25">
      <c r="A71" s="251" t="s">
        <v>470</v>
      </c>
      <c r="B71" s="120" t="s">
        <v>256</v>
      </c>
      <c r="C71" s="103" t="s">
        <v>335</v>
      </c>
      <c r="D71" s="275">
        <f>(1/7*$D$7+1/3*$D$8)/100</f>
        <v>0.23809523809523805</v>
      </c>
      <c r="E71" s="89">
        <v>176.49</v>
      </c>
      <c r="F71" s="272">
        <f t="shared" si="2"/>
        <v>42.021428571428565</v>
      </c>
    </row>
    <row r="72" spans="1:6">
      <c r="A72" s="251"/>
      <c r="B72" s="274"/>
      <c r="C72" s="103"/>
      <c r="D72" s="275"/>
      <c r="E72" s="89"/>
      <c r="F72" s="272"/>
    </row>
    <row r="73" spans="1:6" ht="15">
      <c r="A73" s="277"/>
      <c r="B73" s="244" t="s">
        <v>299</v>
      </c>
      <c r="C73" s="230"/>
      <c r="D73" s="267"/>
      <c r="E73" s="267"/>
      <c r="F73" s="414">
        <f>загальнос!$F$82</f>
        <v>2428.6516249354004</v>
      </c>
    </row>
    <row r="74" spans="1:6" ht="15">
      <c r="A74" s="123" t="s">
        <v>374</v>
      </c>
      <c r="B74" s="278"/>
      <c r="C74" s="188"/>
      <c r="D74" s="87"/>
      <c r="E74" s="87"/>
      <c r="F74" s="199">
        <f>F10+F73</f>
        <v>5087.2600296973051</v>
      </c>
    </row>
    <row r="75" spans="1:6" ht="15">
      <c r="A75" s="279" t="s">
        <v>375</v>
      </c>
      <c r="B75" s="280"/>
      <c r="C75" s="235"/>
      <c r="D75" s="281"/>
      <c r="E75" s="281"/>
      <c r="F75" s="201">
        <f>F74/12</f>
        <v>423.93833580810877</v>
      </c>
    </row>
    <row r="76" spans="1:6">
      <c r="D76" s="5"/>
      <c r="E76" s="5"/>
      <c r="F76" s="5"/>
    </row>
  </sheetData>
  <mergeCells count="2">
    <mergeCell ref="A1:F1"/>
    <mergeCell ref="A2:F2"/>
  </mergeCells>
  <phoneticPr fontId="30" type="noConversion"/>
  <pageMargins left="0.75" right="0.28000000000000003" top="0.89" bottom="0.75" header="0.57999999999999996" footer="0.5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F74"/>
  <sheetViews>
    <sheetView topLeftCell="A43" zoomScale="75" workbookViewId="0">
      <selection activeCell="F68" sqref="F68"/>
    </sheetView>
  </sheetViews>
  <sheetFormatPr defaultRowHeight="12.75"/>
  <cols>
    <col min="1" max="1" width="6.28515625" style="51" customWidth="1"/>
    <col min="2" max="2" width="32.7109375" customWidth="1"/>
    <col min="4" max="4" width="18.85546875" customWidth="1"/>
    <col min="5" max="5" width="11.140625" style="42" customWidth="1"/>
    <col min="6" max="6" width="11.42578125" customWidth="1"/>
  </cols>
  <sheetData>
    <row r="3" spans="1:6" ht="15.75">
      <c r="A3" s="401" t="s">
        <v>417</v>
      </c>
      <c r="B3" s="401"/>
      <c r="C3" s="401"/>
      <c r="D3" s="401"/>
      <c r="E3" s="401"/>
      <c r="F3" s="401"/>
    </row>
    <row r="4" spans="1:6" ht="19.5" customHeight="1">
      <c r="A4" s="402" t="s">
        <v>322</v>
      </c>
      <c r="B4" s="402"/>
      <c r="C4" s="402"/>
      <c r="D4" s="402"/>
      <c r="E4" s="402"/>
      <c r="F4" s="402"/>
    </row>
    <row r="5" spans="1:6">
      <c r="A5" s="76" t="s">
        <v>42</v>
      </c>
      <c r="B5" s="62" t="s">
        <v>305</v>
      </c>
      <c r="C5" s="73" t="s">
        <v>92</v>
      </c>
      <c r="D5" s="80" t="s">
        <v>97</v>
      </c>
      <c r="E5" s="82" t="s">
        <v>94</v>
      </c>
      <c r="F5" s="73" t="s">
        <v>107</v>
      </c>
    </row>
    <row r="6" spans="1:6">
      <c r="A6" s="76" t="s">
        <v>373</v>
      </c>
      <c r="B6" s="59" t="s">
        <v>306</v>
      </c>
      <c r="C6" s="73" t="s">
        <v>81</v>
      </c>
      <c r="D6" s="80" t="s">
        <v>98</v>
      </c>
      <c r="E6" s="80" t="s">
        <v>95</v>
      </c>
      <c r="F6" s="73" t="s">
        <v>105</v>
      </c>
    </row>
    <row r="7" spans="1:6">
      <c r="A7" s="76"/>
      <c r="B7" s="79" t="s">
        <v>307</v>
      </c>
      <c r="C7" s="73"/>
      <c r="D7" s="80" t="s">
        <v>100</v>
      </c>
      <c r="E7" s="80" t="s">
        <v>666</v>
      </c>
      <c r="F7" s="75"/>
    </row>
    <row r="8" spans="1:6">
      <c r="A8" s="76"/>
      <c r="B8" s="81"/>
      <c r="C8" s="80"/>
      <c r="D8" s="80" t="s">
        <v>101</v>
      </c>
      <c r="E8" s="80" t="s">
        <v>665</v>
      </c>
      <c r="F8" s="75"/>
    </row>
    <row r="9" spans="1:6">
      <c r="A9" s="76"/>
      <c r="B9" s="59"/>
      <c r="C9" s="80"/>
      <c r="D9" s="254">
        <v>33.200000000000003</v>
      </c>
      <c r="E9" s="73"/>
      <c r="F9" s="75"/>
    </row>
    <row r="10" spans="1:6">
      <c r="A10" s="129"/>
      <c r="B10" s="130"/>
      <c r="C10" s="131"/>
      <c r="D10" s="257">
        <v>66.8</v>
      </c>
      <c r="E10" s="305" t="s">
        <v>655</v>
      </c>
      <c r="F10" s="150" t="s">
        <v>655</v>
      </c>
    </row>
    <row r="11" spans="1:6" ht="14.25">
      <c r="A11" s="84"/>
      <c r="B11" s="120" t="s">
        <v>127</v>
      </c>
      <c r="C11" s="103"/>
      <c r="D11" s="74"/>
      <c r="E11" s="269"/>
      <c r="F11" s="154"/>
    </row>
    <row r="12" spans="1:6" ht="14.25">
      <c r="A12" s="76"/>
      <c r="B12" s="95" t="s">
        <v>128</v>
      </c>
      <c r="C12" s="73"/>
      <c r="D12" s="74"/>
      <c r="E12" s="269"/>
      <c r="F12" s="154">
        <f>F14+F17+F21+F36+F43+F47+F53+F59+F62+F65+F71</f>
        <v>1902.3355278095239</v>
      </c>
    </row>
    <row r="13" spans="1:6" ht="14.25">
      <c r="A13" s="76"/>
      <c r="B13" s="62"/>
      <c r="C13" s="73"/>
      <c r="D13" s="74"/>
      <c r="E13" s="269"/>
      <c r="F13" s="154"/>
    </row>
    <row r="14" spans="1:6" ht="14.25">
      <c r="A14" s="84">
        <v>1</v>
      </c>
      <c r="B14" s="120" t="s">
        <v>10</v>
      </c>
      <c r="C14" s="193"/>
      <c r="D14" s="282"/>
      <c r="E14" s="283"/>
      <c r="F14" s="154">
        <f>F15+F16</f>
        <v>123.17116799999999</v>
      </c>
    </row>
    <row r="15" spans="1:6">
      <c r="A15" s="76" t="s">
        <v>424</v>
      </c>
      <c r="B15" s="274" t="s">
        <v>297</v>
      </c>
      <c r="C15" s="103" t="s">
        <v>88</v>
      </c>
      <c r="D15" s="263">
        <f>1/5*$D$9/100</f>
        <v>6.6400000000000001E-2</v>
      </c>
      <c r="E15" s="89">
        <v>833.37</v>
      </c>
      <c r="F15" s="89">
        <f>E15*D15</f>
        <v>55.335768000000002</v>
      </c>
    </row>
    <row r="16" spans="1:6">
      <c r="A16" s="76" t="s">
        <v>425</v>
      </c>
      <c r="B16" s="274" t="s">
        <v>594</v>
      </c>
      <c r="C16" s="103" t="s">
        <v>88</v>
      </c>
      <c r="D16" s="263">
        <f>1/10*$D$10/100</f>
        <v>6.6799999999999998E-2</v>
      </c>
      <c r="E16" s="89">
        <v>1015.5</v>
      </c>
      <c r="F16" s="89">
        <f>E16*D16</f>
        <v>67.835399999999993</v>
      </c>
    </row>
    <row r="17" spans="1:6" ht="14.25">
      <c r="A17" s="84" t="s">
        <v>435</v>
      </c>
      <c r="B17" s="120" t="s">
        <v>578</v>
      </c>
      <c r="C17" s="193"/>
      <c r="D17" s="282"/>
      <c r="E17" s="89"/>
      <c r="F17" s="154">
        <f>SUM(F18:F20)</f>
        <v>276.71980999999994</v>
      </c>
    </row>
    <row r="18" spans="1:6">
      <c r="A18" s="76" t="s">
        <v>494</v>
      </c>
      <c r="B18" s="274" t="s">
        <v>587</v>
      </c>
      <c r="C18" s="103" t="s">
        <v>88</v>
      </c>
      <c r="D18" s="263">
        <f>1/8*$D$10/100</f>
        <v>8.3499999999999991E-2</v>
      </c>
      <c r="E18" s="89">
        <v>2304.64</v>
      </c>
      <c r="F18" s="89">
        <f>E18*D18</f>
        <v>192.43743999999998</v>
      </c>
    </row>
    <row r="19" spans="1:6">
      <c r="A19" s="76" t="s">
        <v>495</v>
      </c>
      <c r="B19" s="274" t="s">
        <v>71</v>
      </c>
      <c r="C19" s="103" t="s">
        <v>88</v>
      </c>
      <c r="D19" s="263">
        <f>1/8*$D$9/100</f>
        <v>4.1500000000000002E-2</v>
      </c>
      <c r="E19" s="89">
        <v>721.54</v>
      </c>
      <c r="F19" s="89">
        <f>E19*D19</f>
        <v>29.943909999999999</v>
      </c>
    </row>
    <row r="20" spans="1:6">
      <c r="A20" s="76" t="s">
        <v>496</v>
      </c>
      <c r="B20" s="274" t="s">
        <v>72</v>
      </c>
      <c r="C20" s="103" t="s">
        <v>88</v>
      </c>
      <c r="D20" s="263">
        <f>1/8*$D$10/100</f>
        <v>8.3499999999999991E-2</v>
      </c>
      <c r="E20" s="89">
        <v>650.76</v>
      </c>
      <c r="F20" s="89">
        <f>E20*D20</f>
        <v>54.338459999999991</v>
      </c>
    </row>
    <row r="21" spans="1:6" ht="14.25">
      <c r="A21" s="84" t="s">
        <v>436</v>
      </c>
      <c r="B21" s="120" t="s">
        <v>20</v>
      </c>
      <c r="C21" s="193"/>
      <c r="D21" s="282"/>
      <c r="E21" s="89"/>
      <c r="F21" s="154">
        <f>F22+F23+F24+F25+F27+F28+F29+F30+F31+F32+F33+F34+F35</f>
        <v>594.9280464761905</v>
      </c>
    </row>
    <row r="22" spans="1:6">
      <c r="A22" s="76" t="s">
        <v>478</v>
      </c>
      <c r="B22" s="274" t="s">
        <v>225</v>
      </c>
      <c r="C22" s="103" t="s">
        <v>88</v>
      </c>
      <c r="D22" s="263">
        <f>1/7*$D$9/100</f>
        <v>4.7428571428571431E-2</v>
      </c>
      <c r="E22" s="89">
        <v>1265.57</v>
      </c>
      <c r="F22" s="89">
        <f>E22*D22</f>
        <v>60.024177142857141</v>
      </c>
    </row>
    <row r="23" spans="1:6">
      <c r="A23" s="76" t="s">
        <v>479</v>
      </c>
      <c r="B23" s="274" t="s">
        <v>606</v>
      </c>
      <c r="C23" s="103" t="s">
        <v>88</v>
      </c>
      <c r="D23" s="263">
        <f>3/5*$D$9/100</f>
        <v>0.19920000000000002</v>
      </c>
      <c r="E23" s="89">
        <v>217.48</v>
      </c>
      <c r="F23" s="89">
        <f>E23*D23</f>
        <v>43.322016000000005</v>
      </c>
    </row>
    <row r="24" spans="1:6">
      <c r="A24" s="76" t="s">
        <v>480</v>
      </c>
      <c r="B24" s="274" t="s">
        <v>73</v>
      </c>
      <c r="C24" s="103" t="s">
        <v>88</v>
      </c>
      <c r="D24" s="263">
        <f>1/5*$D$9/100</f>
        <v>6.6400000000000001E-2</v>
      </c>
      <c r="E24" s="89">
        <v>334.99</v>
      </c>
      <c r="F24" s="89">
        <f>E24*D24</f>
        <v>22.243335999999999</v>
      </c>
    </row>
    <row r="25" spans="1:6">
      <c r="A25" s="76" t="s">
        <v>481</v>
      </c>
      <c r="B25" s="274" t="s">
        <v>336</v>
      </c>
      <c r="C25" s="103" t="s">
        <v>88</v>
      </c>
      <c r="D25" s="263">
        <f>1/5*$D$9/100</f>
        <v>6.6400000000000001E-2</v>
      </c>
      <c r="E25" s="89">
        <v>852.43</v>
      </c>
      <c r="F25" s="89">
        <f>E25*D25</f>
        <v>56.601351999999999</v>
      </c>
    </row>
    <row r="26" spans="1:6">
      <c r="A26" s="76"/>
      <c r="B26" s="274" t="s">
        <v>337</v>
      </c>
      <c r="C26" s="103"/>
      <c r="D26" s="263"/>
      <c r="E26" s="89"/>
      <c r="F26" s="89"/>
    </row>
    <row r="27" spans="1:6">
      <c r="A27" s="76" t="s">
        <v>482</v>
      </c>
      <c r="B27" s="274" t="s">
        <v>647</v>
      </c>
      <c r="C27" s="103" t="s">
        <v>88</v>
      </c>
      <c r="D27" s="263">
        <f>1/6*$D$9/100</f>
        <v>5.5333333333333332E-2</v>
      </c>
      <c r="E27" s="89">
        <v>294.10000000000002</v>
      </c>
      <c r="F27" s="89">
        <f t="shared" ref="F27:F33" si="0">E27*D27</f>
        <v>16.273533333333333</v>
      </c>
    </row>
    <row r="28" spans="1:6">
      <c r="A28" s="76" t="s">
        <v>483</v>
      </c>
      <c r="B28" s="274" t="s">
        <v>644</v>
      </c>
      <c r="C28" s="103" t="s">
        <v>88</v>
      </c>
      <c r="D28" s="263">
        <f>1/6*$D$10/100</f>
        <v>0.11133333333333333</v>
      </c>
      <c r="E28" s="89">
        <v>260.06</v>
      </c>
      <c r="F28" s="89">
        <f t="shared" si="0"/>
        <v>28.953346666666665</v>
      </c>
    </row>
    <row r="29" spans="1:6">
      <c r="A29" s="76" t="s">
        <v>500</v>
      </c>
      <c r="B29" s="274" t="s">
        <v>74</v>
      </c>
      <c r="C29" s="103" t="s">
        <v>88</v>
      </c>
      <c r="D29" s="263">
        <f>1/6*$D$10/100</f>
        <v>0.11133333333333333</v>
      </c>
      <c r="E29" s="89">
        <v>430.48</v>
      </c>
      <c r="F29" s="89">
        <f t="shared" si="0"/>
        <v>47.92677333333333</v>
      </c>
    </row>
    <row r="30" spans="1:6">
      <c r="A30" s="76" t="s">
        <v>501</v>
      </c>
      <c r="B30" s="274" t="s">
        <v>75</v>
      </c>
      <c r="C30" s="103" t="s">
        <v>88</v>
      </c>
      <c r="D30" s="263">
        <f>1/2*$D$10/100</f>
        <v>0.33399999999999996</v>
      </c>
      <c r="E30" s="89">
        <v>192.11</v>
      </c>
      <c r="F30" s="89">
        <f t="shared" si="0"/>
        <v>64.164739999999995</v>
      </c>
    </row>
    <row r="31" spans="1:6">
      <c r="A31" s="76" t="s">
        <v>528</v>
      </c>
      <c r="B31" s="274" t="s">
        <v>76</v>
      </c>
      <c r="C31" s="103" t="s">
        <v>88</v>
      </c>
      <c r="D31" s="263">
        <f>2/5*$D$10/100</f>
        <v>0.26719999999999999</v>
      </c>
      <c r="E31" s="89">
        <v>192.11</v>
      </c>
      <c r="F31" s="89">
        <f t="shared" si="0"/>
        <v>51.331792</v>
      </c>
    </row>
    <row r="32" spans="1:6">
      <c r="A32" s="76" t="s">
        <v>529</v>
      </c>
      <c r="B32" s="274" t="s">
        <v>341</v>
      </c>
      <c r="C32" s="103" t="s">
        <v>88</v>
      </c>
      <c r="D32" s="263">
        <f>2/6*$D$10/100</f>
        <v>0.22266666666666665</v>
      </c>
      <c r="E32" s="89">
        <v>244.37</v>
      </c>
      <c r="F32" s="89">
        <f t="shared" si="0"/>
        <v>54.41305333333333</v>
      </c>
    </row>
    <row r="33" spans="1:6">
      <c r="A33" s="76" t="s">
        <v>530</v>
      </c>
      <c r="B33" s="274" t="s">
        <v>296</v>
      </c>
      <c r="C33" s="103" t="s">
        <v>88</v>
      </c>
      <c r="D33" s="263">
        <f>1/6*$D$10/100</f>
        <v>0.11133333333333333</v>
      </c>
      <c r="E33" s="89">
        <v>296.81</v>
      </c>
      <c r="F33" s="89">
        <f t="shared" si="0"/>
        <v>33.044846666666665</v>
      </c>
    </row>
    <row r="34" spans="1:6">
      <c r="A34" s="76" t="s">
        <v>646</v>
      </c>
      <c r="B34" s="274" t="s">
        <v>649</v>
      </c>
      <c r="C34" s="103" t="s">
        <v>88</v>
      </c>
      <c r="D34" s="263">
        <f>1/4*$D$9/100</f>
        <v>8.3000000000000004E-2</v>
      </c>
      <c r="E34" s="163">
        <v>465.02</v>
      </c>
      <c r="F34" s="163">
        <f>E34*D34</f>
        <v>38.59666</v>
      </c>
    </row>
    <row r="35" spans="1:6">
      <c r="A35" s="76" t="s">
        <v>645</v>
      </c>
      <c r="B35" s="274" t="s">
        <v>653</v>
      </c>
      <c r="C35" s="103" t="s">
        <v>88</v>
      </c>
      <c r="D35" s="263">
        <f>1/4*$D$10/100</f>
        <v>0.16699999999999998</v>
      </c>
      <c r="E35" s="163">
        <v>467.26</v>
      </c>
      <c r="F35" s="163">
        <f>E35*D35</f>
        <v>78.032419999999988</v>
      </c>
    </row>
    <row r="36" spans="1:6" ht="14.25">
      <c r="A36" s="84" t="s">
        <v>437</v>
      </c>
      <c r="B36" s="120" t="s">
        <v>12</v>
      </c>
      <c r="C36" s="193"/>
      <c r="D36" s="282"/>
      <c r="E36" s="89"/>
      <c r="F36" s="154">
        <f>F37+F38+F39+F40+F41+F42</f>
        <v>229.89785999999998</v>
      </c>
    </row>
    <row r="37" spans="1:6">
      <c r="A37" s="76" t="s">
        <v>438</v>
      </c>
      <c r="B37" s="274" t="s">
        <v>77</v>
      </c>
      <c r="C37" s="103" t="s">
        <v>88</v>
      </c>
      <c r="D37" s="263">
        <f>4/2*$D$9/100</f>
        <v>0.66400000000000003</v>
      </c>
      <c r="E37" s="89">
        <v>46.07</v>
      </c>
      <c r="F37" s="89">
        <f t="shared" ref="F37:F42" si="1">E37*D37</f>
        <v>30.590480000000003</v>
      </c>
    </row>
    <row r="38" spans="1:6">
      <c r="A38" s="76" t="s">
        <v>439</v>
      </c>
      <c r="B38" s="274" t="s">
        <v>588</v>
      </c>
      <c r="C38" s="103" t="s">
        <v>88</v>
      </c>
      <c r="D38" s="74">
        <f>2/1*$D$9/100</f>
        <v>0.66400000000000003</v>
      </c>
      <c r="E38" s="89">
        <v>60.23</v>
      </c>
      <c r="F38" s="89">
        <f t="shared" si="1"/>
        <v>39.992719999999998</v>
      </c>
    </row>
    <row r="39" spans="1:6">
      <c r="A39" s="76" t="s">
        <v>440</v>
      </c>
      <c r="B39" s="274" t="s">
        <v>78</v>
      </c>
      <c r="C39" s="103" t="s">
        <v>88</v>
      </c>
      <c r="D39" s="263">
        <f>5/3*$D$10/100</f>
        <v>1.1133333333333333</v>
      </c>
      <c r="E39" s="89">
        <v>37.18</v>
      </c>
      <c r="F39" s="89">
        <f t="shared" si="1"/>
        <v>41.39373333333333</v>
      </c>
    </row>
    <row r="40" spans="1:6">
      <c r="A40" s="76" t="s">
        <v>441</v>
      </c>
      <c r="B40" s="274" t="s">
        <v>22</v>
      </c>
      <c r="C40" s="103" t="s">
        <v>88</v>
      </c>
      <c r="D40" s="263">
        <f>2/4*$D$10/100</f>
        <v>0.33399999999999996</v>
      </c>
      <c r="E40" s="89">
        <v>112.32</v>
      </c>
      <c r="F40" s="89">
        <f t="shared" si="1"/>
        <v>37.514879999999991</v>
      </c>
    </row>
    <row r="41" spans="1:6">
      <c r="A41" s="76" t="s">
        <v>442</v>
      </c>
      <c r="B41" s="274" t="s">
        <v>30</v>
      </c>
      <c r="C41" s="103" t="s">
        <v>88</v>
      </c>
      <c r="D41" s="263">
        <f>2/3*$D$10/100</f>
        <v>0.4453333333333333</v>
      </c>
      <c r="E41" s="89">
        <v>118.67</v>
      </c>
      <c r="F41" s="89">
        <f t="shared" si="1"/>
        <v>52.847706666666667</v>
      </c>
    </row>
    <row r="42" spans="1:6">
      <c r="A42" s="76" t="s">
        <v>443</v>
      </c>
      <c r="B42" s="274" t="s">
        <v>21</v>
      </c>
      <c r="C42" s="103" t="s">
        <v>88</v>
      </c>
      <c r="D42" s="263">
        <f>2/4*$D$10/100</f>
        <v>0.33399999999999996</v>
      </c>
      <c r="E42" s="89">
        <v>82.51</v>
      </c>
      <c r="F42" s="89">
        <f t="shared" si="1"/>
        <v>27.558339999999998</v>
      </c>
    </row>
    <row r="43" spans="1:6" ht="14.25">
      <c r="A43" s="84" t="s">
        <v>445</v>
      </c>
      <c r="B43" s="120" t="s">
        <v>14</v>
      </c>
      <c r="C43" s="193"/>
      <c r="D43" s="282"/>
      <c r="E43" s="89"/>
      <c r="F43" s="154">
        <f>F44+F45+F46</f>
        <v>121.26073333333332</v>
      </c>
    </row>
    <row r="44" spans="1:6">
      <c r="A44" s="76" t="s">
        <v>446</v>
      </c>
      <c r="B44" s="274" t="s">
        <v>27</v>
      </c>
      <c r="C44" s="103" t="s">
        <v>88</v>
      </c>
      <c r="D44" s="263">
        <f>5/2*$D$9/100</f>
        <v>0.83</v>
      </c>
      <c r="E44" s="89">
        <v>28.54</v>
      </c>
      <c r="F44" s="89">
        <f>E44*D44</f>
        <v>23.688199999999998</v>
      </c>
    </row>
    <row r="45" spans="1:6">
      <c r="A45" s="76" t="s">
        <v>447</v>
      </c>
      <c r="B45" s="274" t="s">
        <v>25</v>
      </c>
      <c r="C45" s="103" t="s">
        <v>88</v>
      </c>
      <c r="D45" s="263">
        <f>4/2*$D$10/100</f>
        <v>1.3359999999999999</v>
      </c>
      <c r="E45" s="89">
        <v>57.65</v>
      </c>
      <c r="F45" s="89">
        <f>E45*D45</f>
        <v>77.020399999999995</v>
      </c>
    </row>
    <row r="46" spans="1:6">
      <c r="A46" s="76" t="s">
        <v>448</v>
      </c>
      <c r="B46" s="274" t="s">
        <v>227</v>
      </c>
      <c r="C46" s="103" t="s">
        <v>88</v>
      </c>
      <c r="D46" s="263">
        <f>1/3*$D$10/100</f>
        <v>0.22266666666666665</v>
      </c>
      <c r="E46" s="89">
        <v>92.3</v>
      </c>
      <c r="F46" s="89">
        <f>E46*D46</f>
        <v>20.55213333333333</v>
      </c>
    </row>
    <row r="47" spans="1:6" ht="14.25">
      <c r="A47" s="84" t="s">
        <v>452</v>
      </c>
      <c r="B47" s="120" t="s">
        <v>15</v>
      </c>
      <c r="C47" s="193"/>
      <c r="D47" s="282"/>
      <c r="E47" s="89"/>
      <c r="F47" s="154">
        <f>F48+F49+F51+F52</f>
        <v>51.424058666666667</v>
      </c>
    </row>
    <row r="48" spans="1:6">
      <c r="A48" s="76" t="s">
        <v>513</v>
      </c>
      <c r="B48" s="274" t="s">
        <v>339</v>
      </c>
      <c r="C48" s="103" t="s">
        <v>88</v>
      </c>
      <c r="D48" s="263">
        <f>1/7*$D$9/100</f>
        <v>4.7428571428571431E-2</v>
      </c>
      <c r="E48" s="89">
        <v>123.48</v>
      </c>
      <c r="F48" s="89">
        <f>E48*D48</f>
        <v>5.8564800000000004</v>
      </c>
    </row>
    <row r="49" spans="1:6">
      <c r="A49" s="76" t="s">
        <v>514</v>
      </c>
      <c r="B49" s="274" t="s">
        <v>210</v>
      </c>
      <c r="C49" s="103" t="s">
        <v>211</v>
      </c>
      <c r="D49" s="263">
        <f>(1/6*$D$9+1/5*$D$10)/100</f>
        <v>0.18893333333333331</v>
      </c>
      <c r="E49" s="89">
        <v>181.82</v>
      </c>
      <c r="F49" s="89">
        <f>E49*D49</f>
        <v>34.351858666666665</v>
      </c>
    </row>
    <row r="50" spans="1:6">
      <c r="A50" s="76"/>
      <c r="B50" s="274" t="s">
        <v>212</v>
      </c>
      <c r="C50" s="103"/>
      <c r="D50" s="263"/>
      <c r="E50" s="89"/>
      <c r="F50" s="89"/>
    </row>
    <row r="51" spans="1:6">
      <c r="A51" s="76" t="s">
        <v>515</v>
      </c>
      <c r="B51" s="274" t="s">
        <v>228</v>
      </c>
      <c r="C51" s="103" t="s">
        <v>88</v>
      </c>
      <c r="D51" s="263">
        <f>1/4*$D$10/100</f>
        <v>0.16699999999999998</v>
      </c>
      <c r="E51" s="89">
        <v>42.58</v>
      </c>
      <c r="F51" s="89">
        <f>E51*D51</f>
        <v>7.1108599999999988</v>
      </c>
    </row>
    <row r="52" spans="1:6">
      <c r="A52" s="76" t="s">
        <v>516</v>
      </c>
      <c r="B52" s="274" t="s">
        <v>229</v>
      </c>
      <c r="C52" s="103" t="s">
        <v>88</v>
      </c>
      <c r="D52" s="263">
        <f>1/4*$D$10/100</f>
        <v>0.16699999999999998</v>
      </c>
      <c r="E52" s="89">
        <v>24.58</v>
      </c>
      <c r="F52" s="89">
        <f>E52*D52</f>
        <v>4.1048599999999995</v>
      </c>
    </row>
    <row r="53" spans="1:6" ht="14.25">
      <c r="A53" s="84" t="s">
        <v>453</v>
      </c>
      <c r="B53" s="120" t="s">
        <v>16</v>
      </c>
      <c r="C53" s="193"/>
      <c r="D53" s="282"/>
      <c r="E53" s="89"/>
      <c r="F53" s="154">
        <f>F54+F56+F57+F58</f>
        <v>48.194059333333328</v>
      </c>
    </row>
    <row r="54" spans="1:6">
      <c r="A54" s="76" t="s">
        <v>454</v>
      </c>
      <c r="B54" s="274" t="s">
        <v>230</v>
      </c>
      <c r="C54" s="103" t="s">
        <v>88</v>
      </c>
      <c r="D54" s="263">
        <f>(1/4*$D$9+1/4*$D$10)/100</f>
        <v>0.25</v>
      </c>
      <c r="E54" s="89">
        <v>43.01</v>
      </c>
      <c r="F54" s="89">
        <f>E54*D54</f>
        <v>10.7525</v>
      </c>
    </row>
    <row r="55" spans="1:6">
      <c r="A55" s="76"/>
      <c r="B55" s="274" t="s">
        <v>212</v>
      </c>
      <c r="C55" s="103"/>
      <c r="D55" s="263"/>
      <c r="E55" s="89"/>
      <c r="F55" s="89"/>
    </row>
    <row r="56" spans="1:6">
      <c r="A56" s="76" t="s">
        <v>455</v>
      </c>
      <c r="B56" s="274" t="s">
        <v>231</v>
      </c>
      <c r="C56" s="103" t="s">
        <v>88</v>
      </c>
      <c r="D56" s="263">
        <f>1/10*$D$9/100</f>
        <v>3.32E-2</v>
      </c>
      <c r="E56" s="89">
        <v>77.849999999999994</v>
      </c>
      <c r="F56" s="89">
        <f>E56*D56</f>
        <v>2.5846199999999997</v>
      </c>
    </row>
    <row r="57" spans="1:6">
      <c r="A57" s="76" t="s">
        <v>456</v>
      </c>
      <c r="B57" s="274" t="s">
        <v>232</v>
      </c>
      <c r="C57" s="103" t="s">
        <v>88</v>
      </c>
      <c r="D57" s="263">
        <f>1/6*$D$9/100</f>
        <v>5.5333333333333332E-2</v>
      </c>
      <c r="E57" s="89">
        <v>428.95</v>
      </c>
      <c r="F57" s="89">
        <f>E57*D57</f>
        <v>23.735233333333333</v>
      </c>
    </row>
    <row r="58" spans="1:6">
      <c r="A58" s="76" t="s">
        <v>457</v>
      </c>
      <c r="B58" s="274" t="s">
        <v>589</v>
      </c>
      <c r="C58" s="103"/>
      <c r="D58" s="263"/>
      <c r="E58" s="89"/>
      <c r="F58" s="89">
        <f>(F54+F56+F57)*0.3</f>
        <v>11.121706</v>
      </c>
    </row>
    <row r="59" spans="1:6" s="15" customFormat="1" ht="14.25">
      <c r="A59" s="84" t="s">
        <v>458</v>
      </c>
      <c r="B59" s="120" t="s">
        <v>17</v>
      </c>
      <c r="C59" s="193"/>
      <c r="D59" s="282"/>
      <c r="E59" s="89"/>
      <c r="F59" s="154">
        <f>F60+F61</f>
        <v>92.178113333333329</v>
      </c>
    </row>
    <row r="60" spans="1:6">
      <c r="A60" s="76" t="s">
        <v>459</v>
      </c>
      <c r="B60" s="274" t="s">
        <v>607</v>
      </c>
      <c r="C60" s="103" t="s">
        <v>335</v>
      </c>
      <c r="D60" s="263">
        <f>1/6*$D$9/100</f>
        <v>5.5333333333333332E-2</v>
      </c>
      <c r="E60" s="89">
        <v>560.41</v>
      </c>
      <c r="F60" s="89">
        <f>E60*D60</f>
        <v>31.00935333333333</v>
      </c>
    </row>
    <row r="61" spans="1:6">
      <c r="A61" s="76" t="s">
        <v>460</v>
      </c>
      <c r="B61" s="274" t="s">
        <v>590</v>
      </c>
      <c r="C61" s="103" t="s">
        <v>335</v>
      </c>
      <c r="D61" s="263">
        <f>1/6*$D$10/100</f>
        <v>0.11133333333333333</v>
      </c>
      <c r="E61" s="89">
        <v>549.41999999999996</v>
      </c>
      <c r="F61" s="89">
        <f>E61*D61</f>
        <v>61.168759999999992</v>
      </c>
    </row>
    <row r="62" spans="1:6" ht="14.25">
      <c r="A62" s="84" t="s">
        <v>465</v>
      </c>
      <c r="B62" s="120" t="s">
        <v>18</v>
      </c>
      <c r="C62" s="103" t="s">
        <v>335</v>
      </c>
      <c r="D62" s="282"/>
      <c r="E62" s="89"/>
      <c r="F62" s="154">
        <f>F63+F64</f>
        <v>95.588728000000003</v>
      </c>
    </row>
    <row r="63" spans="1:6">
      <c r="A63" s="76" t="s">
        <v>486</v>
      </c>
      <c r="B63" s="274" t="s">
        <v>213</v>
      </c>
      <c r="C63" s="103" t="s">
        <v>335</v>
      </c>
      <c r="D63" s="263">
        <f>1/5*$D$9/100</f>
        <v>6.6400000000000001E-2</v>
      </c>
      <c r="E63" s="89">
        <v>451.07</v>
      </c>
      <c r="F63" s="89">
        <f>E63*D63</f>
        <v>29.951048</v>
      </c>
    </row>
    <row r="64" spans="1:6">
      <c r="A64" s="76" t="s">
        <v>487</v>
      </c>
      <c r="B64" s="274" t="s">
        <v>591</v>
      </c>
      <c r="C64" s="103" t="s">
        <v>335</v>
      </c>
      <c r="D64" s="263">
        <f>1/3.5*$D$10/100</f>
        <v>0.19085714285714286</v>
      </c>
      <c r="E64" s="89">
        <v>343.91</v>
      </c>
      <c r="F64" s="89">
        <f>E64*D64</f>
        <v>65.637680000000003</v>
      </c>
    </row>
    <row r="65" spans="1:6" ht="14.25">
      <c r="A65" s="84" t="s">
        <v>466</v>
      </c>
      <c r="B65" s="120" t="s">
        <v>642</v>
      </c>
      <c r="C65" s="103"/>
      <c r="D65" s="282"/>
      <c r="E65" s="89"/>
      <c r="F65" s="154">
        <f>F66+F67+F68+F69+F70</f>
        <v>198.30635466666666</v>
      </c>
    </row>
    <row r="66" spans="1:6">
      <c r="A66" s="76" t="s">
        <v>467</v>
      </c>
      <c r="B66" s="274" t="s">
        <v>28</v>
      </c>
      <c r="C66" s="103" t="s">
        <v>335</v>
      </c>
      <c r="D66" s="263">
        <f>1/3*$D$9/100</f>
        <v>0.11066666666666666</v>
      </c>
      <c r="E66" s="89">
        <v>390.28</v>
      </c>
      <c r="F66" s="89">
        <f t="shared" ref="F66:F71" si="2">E66*D66</f>
        <v>43.19098666666666</v>
      </c>
    </row>
    <row r="67" spans="1:6">
      <c r="A67" s="76" t="s">
        <v>468</v>
      </c>
      <c r="B67" s="274" t="s">
        <v>340</v>
      </c>
      <c r="C67" s="103" t="s">
        <v>335</v>
      </c>
      <c r="D67" s="263">
        <f>1/5*$D$9/100</f>
        <v>6.6400000000000001E-2</v>
      </c>
      <c r="E67" s="89">
        <v>391.13</v>
      </c>
      <c r="F67" s="89">
        <f t="shared" si="2"/>
        <v>25.971032000000001</v>
      </c>
    </row>
    <row r="68" spans="1:6">
      <c r="A68" s="76" t="s">
        <v>489</v>
      </c>
      <c r="B68" s="274" t="s">
        <v>595</v>
      </c>
      <c r="C68" s="155" t="s">
        <v>335</v>
      </c>
      <c r="D68" s="263">
        <f>1/2.5*$D$10/100</f>
        <v>0.26719999999999999</v>
      </c>
      <c r="E68" s="89">
        <v>295.93</v>
      </c>
      <c r="F68" s="89">
        <f t="shared" si="2"/>
        <v>79.072496000000001</v>
      </c>
    </row>
    <row r="69" spans="1:6" s="33" customFormat="1" ht="15">
      <c r="A69" s="76" t="s">
        <v>490</v>
      </c>
      <c r="B69" s="274" t="s">
        <v>650</v>
      </c>
      <c r="C69" s="103" t="s">
        <v>335</v>
      </c>
      <c r="D69" s="275">
        <f>1/3*$D$10/100</f>
        <v>0.22266666666666665</v>
      </c>
      <c r="E69" s="89">
        <v>147.44</v>
      </c>
      <c r="F69" s="154">
        <f t="shared" si="2"/>
        <v>32.829973333333328</v>
      </c>
    </row>
    <row r="70" spans="1:6" s="33" customFormat="1" ht="15">
      <c r="A70" s="76" t="s">
        <v>491</v>
      </c>
      <c r="B70" s="274" t="s">
        <v>651</v>
      </c>
      <c r="C70" s="103" t="s">
        <v>335</v>
      </c>
      <c r="D70" s="275">
        <f>1/3*$D$9/100</f>
        <v>0.11066666666666666</v>
      </c>
      <c r="E70" s="89">
        <v>155.80000000000001</v>
      </c>
      <c r="F70" s="154">
        <f t="shared" si="2"/>
        <v>17.241866666666667</v>
      </c>
    </row>
    <row r="71" spans="1:6" s="33" customFormat="1" ht="15">
      <c r="A71" s="84" t="s">
        <v>470</v>
      </c>
      <c r="B71" s="120" t="s">
        <v>256</v>
      </c>
      <c r="C71" s="103" t="s">
        <v>335</v>
      </c>
      <c r="D71" s="284">
        <f>(1/5*$D$9+1/2*$D$10)/100</f>
        <v>0.40039999999999998</v>
      </c>
      <c r="E71" s="126">
        <v>176.49</v>
      </c>
      <c r="F71" s="154">
        <f t="shared" si="2"/>
        <v>70.666595999999998</v>
      </c>
    </row>
    <row r="72" spans="1:6" s="33" customFormat="1" ht="15">
      <c r="A72" s="197"/>
      <c r="B72" s="244" t="s">
        <v>338</v>
      </c>
      <c r="C72" s="244"/>
      <c r="D72" s="165"/>
      <c r="E72" s="88"/>
      <c r="F72" s="414">
        <f>загальнос!$F$82</f>
        <v>2428.6516249354004</v>
      </c>
    </row>
    <row r="73" spans="1:6" ht="15">
      <c r="A73" s="123" t="s">
        <v>374</v>
      </c>
      <c r="B73" s="278"/>
      <c r="C73" s="240"/>
      <c r="D73" s="87"/>
      <c r="E73" s="88"/>
      <c r="F73" s="199">
        <f>F12+F72</f>
        <v>4330.9871527449241</v>
      </c>
    </row>
    <row r="74" spans="1:6" ht="15.75">
      <c r="A74" s="285" t="s">
        <v>375</v>
      </c>
      <c r="B74" s="130"/>
      <c r="C74" s="101"/>
      <c r="D74" s="117"/>
      <c r="E74" s="286"/>
      <c r="F74" s="102">
        <f>F73/12</f>
        <v>360.91559606207699</v>
      </c>
    </row>
  </sheetData>
  <mergeCells count="2">
    <mergeCell ref="A3:F3"/>
    <mergeCell ref="A4:F4"/>
  </mergeCells>
  <phoneticPr fontId="30" type="noConversion"/>
  <pageMargins left="0.94" right="0.31" top="0.7" bottom="0.93" header="0.41" footer="0.67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4"/>
  <sheetViews>
    <sheetView zoomScale="75" workbookViewId="0">
      <selection activeCell="F39" sqref="F39"/>
    </sheetView>
  </sheetViews>
  <sheetFormatPr defaultRowHeight="12.75"/>
  <cols>
    <col min="1" max="1" width="4.5703125" style="50" customWidth="1"/>
    <col min="2" max="2" width="28.7109375" customWidth="1"/>
    <col min="3" max="3" width="13.28515625" style="5" bestFit="1" customWidth="1"/>
    <col min="4" max="4" width="9.85546875" style="5" customWidth="1"/>
    <col min="5" max="5" width="9.5703125" style="5" customWidth="1"/>
    <col min="6" max="6" width="13.5703125" style="5" customWidth="1"/>
    <col min="7" max="7" width="13.85546875" bestFit="1" customWidth="1"/>
  </cols>
  <sheetData>
    <row r="1" spans="1:16" ht="14.25">
      <c r="A1" s="405" t="s">
        <v>318</v>
      </c>
      <c r="B1" s="405"/>
      <c r="C1" s="405"/>
      <c r="D1" s="405"/>
      <c r="E1" s="405"/>
      <c r="F1" s="405"/>
    </row>
    <row r="2" spans="1:16" ht="14.25">
      <c r="A2" s="405" t="s">
        <v>319</v>
      </c>
      <c r="B2" s="405"/>
      <c r="C2" s="405"/>
      <c r="D2" s="405"/>
      <c r="E2" s="405"/>
      <c r="F2" s="405"/>
    </row>
    <row r="3" spans="1:16">
      <c r="A3" s="135"/>
      <c r="B3" s="62"/>
      <c r="C3" s="63"/>
      <c r="D3" s="63"/>
      <c r="E3" s="63"/>
      <c r="F3" s="63"/>
    </row>
    <row r="4" spans="1:16">
      <c r="A4" s="175" t="s">
        <v>8</v>
      </c>
      <c r="B4" s="60"/>
      <c r="C4" s="176" t="s">
        <v>9</v>
      </c>
      <c r="D4" s="70" t="s">
        <v>182</v>
      </c>
      <c r="E4" s="70" t="s">
        <v>600</v>
      </c>
      <c r="F4" s="70" t="s">
        <v>106</v>
      </c>
    </row>
    <row r="5" spans="1:16">
      <c r="A5" s="118" t="s">
        <v>373</v>
      </c>
      <c r="B5" s="81"/>
      <c r="C5" s="72" t="s">
        <v>180</v>
      </c>
      <c r="D5" s="75" t="s">
        <v>183</v>
      </c>
      <c r="E5" s="75" t="s">
        <v>621</v>
      </c>
      <c r="F5" s="75" t="s">
        <v>105</v>
      </c>
    </row>
    <row r="6" spans="1:16">
      <c r="A6" s="118"/>
      <c r="B6" s="81"/>
      <c r="C6" s="72" t="s">
        <v>181</v>
      </c>
      <c r="D6" s="75" t="s">
        <v>192</v>
      </c>
      <c r="E6" s="75" t="s">
        <v>666</v>
      </c>
      <c r="F6" s="75"/>
    </row>
    <row r="7" spans="1:16" ht="12" customHeight="1">
      <c r="A7" s="118"/>
      <c r="B7" s="81"/>
      <c r="C7" s="72"/>
      <c r="D7" s="75" t="s">
        <v>639</v>
      </c>
      <c r="E7" s="298" t="s">
        <v>665</v>
      </c>
      <c r="F7" s="75"/>
    </row>
    <row r="8" spans="1:16" ht="14.25" customHeight="1">
      <c r="A8" s="177"/>
      <c r="B8" s="61"/>
      <c r="C8" s="117"/>
      <c r="D8" s="132" t="s">
        <v>198</v>
      </c>
      <c r="E8" s="305" t="s">
        <v>655</v>
      </c>
      <c r="F8" s="150" t="s">
        <v>655</v>
      </c>
    </row>
    <row r="9" spans="1:16">
      <c r="A9" s="118"/>
      <c r="B9" s="81"/>
      <c r="C9" s="63"/>
      <c r="D9" s="75"/>
      <c r="E9" s="75"/>
      <c r="F9" s="73"/>
    </row>
    <row r="10" spans="1:16">
      <c r="A10" s="178"/>
      <c r="B10" s="81"/>
      <c r="C10" s="336"/>
      <c r="D10" s="156"/>
      <c r="E10" s="156"/>
      <c r="F10" s="125"/>
    </row>
    <row r="11" spans="1:16" ht="14.25">
      <c r="A11" s="178">
        <v>1</v>
      </c>
      <c r="B11" s="81" t="s">
        <v>596</v>
      </c>
      <c r="C11" s="335">
        <v>4849.6589999999997</v>
      </c>
      <c r="D11" s="75"/>
      <c r="E11" s="75"/>
      <c r="F11" s="89">
        <f>F14+F17</f>
        <v>1182306.9030098398</v>
      </c>
      <c r="I11" s="318"/>
    </row>
    <row r="12" spans="1:16">
      <c r="A12" s="178"/>
      <c r="B12" s="81" t="s">
        <v>214</v>
      </c>
      <c r="C12" s="336"/>
      <c r="D12" s="75"/>
      <c r="E12" s="75"/>
      <c r="F12" s="75"/>
    </row>
    <row r="13" spans="1:16">
      <c r="A13" s="178"/>
      <c r="B13" s="81"/>
      <c r="C13" s="336"/>
      <c r="D13" s="75"/>
      <c r="E13" s="75"/>
      <c r="F13" s="75"/>
    </row>
    <row r="14" spans="1:16">
      <c r="A14" s="178"/>
      <c r="B14" s="81" t="s">
        <v>320</v>
      </c>
      <c r="C14" s="337">
        <f>C11*0.85</f>
        <v>4122.2101499999999</v>
      </c>
      <c r="D14" s="339">
        <v>31.36</v>
      </c>
      <c r="E14" s="75">
        <v>6.8789999999999996</v>
      </c>
      <c r="F14" s="89">
        <f>C14*D14*E14</f>
        <v>889265.59838121594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>
      <c r="A15" s="178"/>
      <c r="B15" s="81" t="s">
        <v>215</v>
      </c>
      <c r="C15" s="336"/>
      <c r="D15" s="339"/>
      <c r="E15" s="75"/>
      <c r="F15" s="89"/>
      <c r="G15" s="54"/>
      <c r="H15" s="358"/>
      <c r="I15" s="54"/>
      <c r="J15" s="54"/>
      <c r="K15" s="54"/>
      <c r="L15" s="54"/>
      <c r="M15" s="54"/>
      <c r="N15" s="54"/>
      <c r="O15" s="54"/>
      <c r="P15" s="54"/>
    </row>
    <row r="16" spans="1:16">
      <c r="A16" s="178"/>
      <c r="B16" s="81"/>
      <c r="C16" s="336"/>
      <c r="D16" s="339"/>
      <c r="E16" s="75"/>
      <c r="F16" s="89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>
      <c r="A17" s="178"/>
      <c r="B17" s="81" t="s">
        <v>597</v>
      </c>
      <c r="C17" s="337">
        <f>C11*0.15</f>
        <v>727.44884999999988</v>
      </c>
      <c r="D17" s="339">
        <v>58.56</v>
      </c>
      <c r="E17" s="75">
        <v>6.8789999999999996</v>
      </c>
      <c r="F17" s="89">
        <f>C17*D17*E17</f>
        <v>293041.30462862394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>
      <c r="A18" s="178"/>
      <c r="B18" s="81" t="s">
        <v>186</v>
      </c>
      <c r="C18" s="336"/>
      <c r="D18" s="339"/>
      <c r="E18" s="75"/>
      <c r="F18" s="89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>
      <c r="A19" s="178"/>
      <c r="B19" s="81" t="s">
        <v>216</v>
      </c>
      <c r="C19" s="336"/>
      <c r="D19" s="339"/>
      <c r="E19" s="75"/>
      <c r="F19" s="89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>
      <c r="A20" s="178"/>
      <c r="B20" s="81" t="s">
        <v>188</v>
      </c>
      <c r="C20" s="336"/>
      <c r="D20" s="339"/>
      <c r="E20" s="75"/>
      <c r="F20" s="89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>
      <c r="A21" s="178"/>
      <c r="B21" s="81"/>
      <c r="C21" s="336"/>
      <c r="D21" s="339"/>
      <c r="E21" s="75"/>
      <c r="F21" s="89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spans="1:16">
      <c r="A22" s="178"/>
      <c r="B22" s="81"/>
      <c r="C22" s="336"/>
      <c r="D22" s="339"/>
      <c r="E22" s="89"/>
      <c r="F22" s="89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 ht="14.25">
      <c r="A23" s="178">
        <v>2</v>
      </c>
      <c r="B23" s="81" t="s">
        <v>596</v>
      </c>
      <c r="C23" s="335">
        <v>1309.5250000000001</v>
      </c>
      <c r="D23" s="339">
        <v>75.52</v>
      </c>
      <c r="E23" s="75">
        <v>6.8789999999999996</v>
      </c>
      <c r="F23" s="89">
        <f>C23*D23*E23</f>
        <v>680300.96131200006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6">
      <c r="A24" s="178"/>
      <c r="B24" s="81" t="s">
        <v>217</v>
      </c>
      <c r="C24" s="336"/>
      <c r="D24" s="339"/>
      <c r="E24" s="75"/>
      <c r="F24" s="89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1:16">
      <c r="A25" s="178"/>
      <c r="B25" s="81" t="s">
        <v>218</v>
      </c>
      <c r="C25" s="336"/>
      <c r="D25" s="339"/>
      <c r="E25" s="75"/>
      <c r="F25" s="89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1:16">
      <c r="A26" s="178"/>
      <c r="B26" s="81"/>
      <c r="C26" s="336"/>
      <c r="D26" s="339"/>
      <c r="E26" s="75"/>
      <c r="F26" s="89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ht="18" customHeight="1">
      <c r="A27" s="178">
        <v>3</v>
      </c>
      <c r="B27" s="81" t="s">
        <v>189</v>
      </c>
      <c r="C27" s="335">
        <v>7714.2479999999996</v>
      </c>
      <c r="D27" s="339">
        <v>431.2</v>
      </c>
      <c r="E27" s="75">
        <v>6.8789999999999996</v>
      </c>
      <c r="F27" s="89">
        <f>C27*D27*E27</f>
        <v>22882193.730950397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>
      <c r="A28" s="178"/>
      <c r="B28" s="81" t="s">
        <v>190</v>
      </c>
      <c r="C28" s="336"/>
      <c r="D28" s="339"/>
      <c r="E28" s="75"/>
      <c r="F28" s="75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1:16">
      <c r="A29" s="178"/>
      <c r="B29" s="81" t="s">
        <v>191</v>
      </c>
      <c r="C29" s="336"/>
      <c r="D29" s="75"/>
      <c r="E29" s="75"/>
      <c r="F29" s="75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16">
      <c r="A30" s="178"/>
      <c r="B30" s="81"/>
      <c r="C30" s="336"/>
      <c r="D30" s="75"/>
      <c r="E30" s="75"/>
      <c r="F30" s="105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>
      <c r="A31" s="178"/>
      <c r="B31" s="81"/>
      <c r="C31" s="336"/>
      <c r="D31" s="75"/>
      <c r="E31" s="75"/>
      <c r="F31" s="105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ht="14.25">
      <c r="A32" s="178" t="s">
        <v>622</v>
      </c>
      <c r="B32" s="81" t="s">
        <v>659</v>
      </c>
      <c r="C32" s="338">
        <f>C11+C23+C27</f>
        <v>13873.431999999999</v>
      </c>
      <c r="D32" s="75"/>
      <c r="E32" s="339"/>
      <c r="F32" s="339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>
      <c r="A33" s="178"/>
      <c r="B33" s="62"/>
      <c r="C33" s="339"/>
      <c r="D33" s="75"/>
      <c r="E33" s="339"/>
      <c r="F33" s="339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1:16">
      <c r="A34" s="178"/>
      <c r="B34" s="81"/>
      <c r="C34" s="336"/>
      <c r="D34" s="156"/>
      <c r="E34" s="356"/>
      <c r="F34" s="357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ht="14.25">
      <c r="A35" s="178"/>
      <c r="B35" s="81" t="s">
        <v>634</v>
      </c>
      <c r="C35" s="336"/>
      <c r="D35" s="156"/>
      <c r="E35" s="89"/>
      <c r="F35" s="180">
        <f>F11+F23+F27</f>
        <v>24744801.595272236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6">
      <c r="A36" s="178"/>
      <c r="B36" s="81"/>
      <c r="C36" s="336"/>
      <c r="D36" s="156"/>
      <c r="E36" s="89"/>
      <c r="F36" s="179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1:16" ht="14.25">
      <c r="A37" s="178"/>
      <c r="B37" s="120" t="s">
        <v>316</v>
      </c>
      <c r="C37" s="336"/>
      <c r="D37" s="125"/>
      <c r="E37" s="89"/>
      <c r="F37" s="179"/>
      <c r="G37" s="54"/>
      <c r="H37" s="54"/>
      <c r="I37" s="54"/>
      <c r="J37" s="54"/>
      <c r="K37" s="54"/>
      <c r="L37" s="54"/>
      <c r="M37" s="54"/>
      <c r="N37" s="54"/>
      <c r="O37" s="54"/>
      <c r="P37" s="54"/>
    </row>
    <row r="38" spans="1:16" ht="14.25">
      <c r="A38" s="178"/>
      <c r="B38" s="120" t="s">
        <v>317</v>
      </c>
      <c r="C38" s="342">
        <v>15033.4</v>
      </c>
      <c r="D38" s="339"/>
      <c r="E38" s="343"/>
      <c r="F38" s="339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1:16">
      <c r="A39" s="181"/>
      <c r="B39" s="81"/>
      <c r="C39" s="339"/>
      <c r="D39" s="339"/>
      <c r="E39" s="344"/>
      <c r="F39" s="345">
        <v>2.58</v>
      </c>
      <c r="G39" s="54"/>
      <c r="H39" s="57"/>
      <c r="I39" s="54"/>
      <c r="J39" s="54"/>
      <c r="K39" s="54"/>
      <c r="L39" s="54"/>
      <c r="M39" s="54"/>
      <c r="N39" s="54"/>
      <c r="O39" s="54"/>
      <c r="P39" s="54"/>
    </row>
    <row r="40" spans="1:16">
      <c r="A40" s="181"/>
      <c r="B40" s="81"/>
      <c r="C40" s="75"/>
      <c r="D40" s="75"/>
      <c r="E40" s="72"/>
      <c r="F40" s="73" t="s">
        <v>532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6" ht="14.25">
      <c r="A41" s="181"/>
      <c r="B41" s="120" t="s">
        <v>379</v>
      </c>
      <c r="C41" s="75"/>
      <c r="D41" s="75"/>
      <c r="E41" s="72"/>
      <c r="F41" s="73" t="s">
        <v>533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4.25">
      <c r="A42" s="182"/>
      <c r="B42" s="183" t="s">
        <v>197</v>
      </c>
      <c r="C42" s="184"/>
      <c r="D42" s="184"/>
      <c r="E42" s="185"/>
      <c r="F42" s="186">
        <f>F35/C38/F39</f>
        <v>637.97998924132639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>
      <c r="G44" s="54"/>
      <c r="H44" s="54"/>
      <c r="I44" s="54"/>
      <c r="J44" s="54"/>
      <c r="K44" s="54"/>
      <c r="L44" s="54"/>
      <c r="M44" s="54"/>
      <c r="N44" s="54"/>
      <c r="O44" s="54"/>
      <c r="P44" s="54"/>
    </row>
  </sheetData>
  <mergeCells count="2">
    <mergeCell ref="A1:F1"/>
    <mergeCell ref="A2:F2"/>
  </mergeCells>
  <phoneticPr fontId="30" type="noConversion"/>
  <pageMargins left="0.64" right="0.43" top="0.8" bottom="1" header="0.5" footer="0.5"/>
  <pageSetup paperSize="9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7"/>
  <sheetViews>
    <sheetView zoomScale="77" zoomScaleNormal="77" workbookViewId="0">
      <selection activeCell="D9" sqref="D9"/>
    </sheetView>
  </sheetViews>
  <sheetFormatPr defaultRowHeight="12.75"/>
  <cols>
    <col min="1" max="1" width="3.85546875" style="51" customWidth="1"/>
    <col min="2" max="2" width="32.7109375" customWidth="1"/>
    <col min="3" max="3" width="15.7109375" customWidth="1"/>
    <col min="4" max="4" width="12.5703125" customWidth="1"/>
    <col min="5" max="5" width="9.42578125" customWidth="1"/>
    <col min="6" max="6" width="9.28515625" customWidth="1"/>
    <col min="8" max="9" width="10.42578125" bestFit="1" customWidth="1"/>
    <col min="10" max="10" width="11" bestFit="1" customWidth="1"/>
  </cols>
  <sheetData>
    <row r="1" spans="1:7" ht="14.25">
      <c r="A1" s="403" t="s">
        <v>598</v>
      </c>
      <c r="B1" s="403"/>
      <c r="C1" s="403"/>
      <c r="D1" s="403"/>
      <c r="E1" s="403"/>
      <c r="F1" s="403"/>
      <c r="G1" s="403"/>
    </row>
    <row r="2" spans="1:7">
      <c r="A2" s="144"/>
      <c r="B2" s="62"/>
      <c r="C2" s="63"/>
      <c r="D2" s="63"/>
      <c r="E2" s="63"/>
      <c r="F2" s="63"/>
      <c r="G2" s="63"/>
    </row>
    <row r="3" spans="1:7">
      <c r="A3" s="287" t="s">
        <v>8</v>
      </c>
      <c r="B3" s="70" t="s">
        <v>102</v>
      </c>
      <c r="C3" s="203" t="s">
        <v>103</v>
      </c>
      <c r="D3" s="68" t="s">
        <v>104</v>
      </c>
      <c r="E3" s="68" t="s">
        <v>600</v>
      </c>
      <c r="F3" s="68" t="s">
        <v>106</v>
      </c>
      <c r="G3" s="68" t="s">
        <v>106</v>
      </c>
    </row>
    <row r="4" spans="1:7">
      <c r="A4" s="122"/>
      <c r="B4" s="75"/>
      <c r="C4" s="155"/>
      <c r="D4" s="73"/>
      <c r="E4" s="73" t="s">
        <v>666</v>
      </c>
      <c r="F4" s="73"/>
      <c r="G4" s="73"/>
    </row>
    <row r="5" spans="1:7">
      <c r="A5" s="122" t="s">
        <v>373</v>
      </c>
      <c r="B5" s="81"/>
      <c r="C5" s="155" t="s">
        <v>81</v>
      </c>
      <c r="D5" s="73" t="s">
        <v>105</v>
      </c>
      <c r="E5" s="73" t="s">
        <v>665</v>
      </c>
      <c r="F5" s="73" t="s">
        <v>105</v>
      </c>
      <c r="G5" s="73" t="s">
        <v>105</v>
      </c>
    </row>
    <row r="6" spans="1:7">
      <c r="A6" s="122"/>
      <c r="B6" s="81"/>
      <c r="C6" s="155"/>
      <c r="D6" s="73"/>
      <c r="E6" s="77"/>
      <c r="F6" s="73" t="s">
        <v>178</v>
      </c>
      <c r="G6" s="73" t="s">
        <v>183</v>
      </c>
    </row>
    <row r="7" spans="1:7">
      <c r="A7" s="90"/>
      <c r="B7" s="81"/>
      <c r="C7" s="155"/>
      <c r="D7" s="73" t="s">
        <v>294</v>
      </c>
      <c r="E7" s="77"/>
      <c r="F7" s="73"/>
      <c r="G7" s="73"/>
    </row>
    <row r="8" spans="1:7">
      <c r="A8" s="288"/>
      <c r="B8" s="61"/>
      <c r="C8" s="117"/>
      <c r="D8" s="319">
        <v>2.58</v>
      </c>
      <c r="E8" s="119" t="s">
        <v>655</v>
      </c>
      <c r="F8" s="305" t="s">
        <v>655</v>
      </c>
      <c r="G8" s="150" t="s">
        <v>655</v>
      </c>
    </row>
    <row r="9" spans="1:7">
      <c r="A9" s="66"/>
      <c r="B9" s="70"/>
      <c r="C9" s="176"/>
      <c r="D9" s="69"/>
      <c r="E9" s="70"/>
      <c r="F9" s="70"/>
      <c r="G9" s="70"/>
    </row>
    <row r="10" spans="1:7" ht="14.25">
      <c r="A10" s="84">
        <v>1</v>
      </c>
      <c r="B10" s="120" t="s">
        <v>131</v>
      </c>
      <c r="C10" s="193" t="s">
        <v>611</v>
      </c>
      <c r="D10" s="196">
        <v>21</v>
      </c>
      <c r="E10" s="75">
        <v>1.83</v>
      </c>
      <c r="F10" s="89">
        <f>E10*D10*12</f>
        <v>461.15999999999997</v>
      </c>
      <c r="G10" s="289">
        <f>F10/12</f>
        <v>38.43</v>
      </c>
    </row>
    <row r="11" spans="1:7">
      <c r="A11" s="76"/>
      <c r="B11" s="81"/>
      <c r="C11" s="103" t="s">
        <v>177</v>
      </c>
      <c r="D11" s="263"/>
      <c r="E11" s="75"/>
      <c r="F11" s="89"/>
      <c r="G11" s="75"/>
    </row>
    <row r="12" spans="1:7" ht="14.25">
      <c r="A12" s="84" t="s">
        <v>435</v>
      </c>
      <c r="B12" s="120" t="s">
        <v>201</v>
      </c>
      <c r="C12" s="103" t="s">
        <v>135</v>
      </c>
      <c r="D12" s="62"/>
      <c r="E12" s="79"/>
      <c r="F12" s="290">
        <f>F14+F17+F20</f>
        <v>362.44799999999998</v>
      </c>
      <c r="G12" s="291">
        <f>F12/12</f>
        <v>30.203999999999997</v>
      </c>
    </row>
    <row r="13" spans="1:7" ht="14.25">
      <c r="A13" s="84"/>
      <c r="B13" s="120" t="s">
        <v>132</v>
      </c>
      <c r="C13" s="103" t="s">
        <v>183</v>
      </c>
      <c r="D13" s="62"/>
      <c r="E13" s="79"/>
      <c r="F13" s="196">
        <f>F15+F18+F21</f>
        <v>300.06432000000001</v>
      </c>
      <c r="G13" s="154">
        <f>F13/12</f>
        <v>25.00536</v>
      </c>
    </row>
    <row r="14" spans="1:7" ht="15">
      <c r="A14" s="84"/>
      <c r="B14" s="120"/>
      <c r="C14" s="103" t="s">
        <v>177</v>
      </c>
      <c r="D14" s="292">
        <v>3.2</v>
      </c>
      <c r="E14" s="105">
        <v>6</v>
      </c>
      <c r="F14" s="89">
        <f>D14*E14*0.23*12</f>
        <v>52.992000000000019</v>
      </c>
      <c r="G14" s="293">
        <f>F14/12</f>
        <v>4.4160000000000013</v>
      </c>
    </row>
    <row r="15" spans="1:7" ht="15">
      <c r="A15" s="84"/>
      <c r="B15" s="120"/>
      <c r="C15" s="103"/>
      <c r="D15" s="125">
        <v>3</v>
      </c>
      <c r="E15" s="105">
        <v>5.16</v>
      </c>
      <c r="F15" s="89">
        <f>E15*D15*0.23*12</f>
        <v>42.724800000000002</v>
      </c>
      <c r="G15" s="159">
        <f>F15/12</f>
        <v>3.5604</v>
      </c>
    </row>
    <row r="16" spans="1:7" ht="15">
      <c r="A16" s="84"/>
      <c r="B16" s="259"/>
      <c r="C16" s="103"/>
      <c r="D16" s="125"/>
      <c r="E16" s="105"/>
      <c r="F16" s="89"/>
      <c r="G16" s="159"/>
    </row>
    <row r="17" spans="1:9" ht="15">
      <c r="A17" s="84"/>
      <c r="B17" s="259"/>
      <c r="C17" s="103"/>
      <c r="D17" s="292">
        <v>4.4000000000000004</v>
      </c>
      <c r="E17" s="105">
        <v>6</v>
      </c>
      <c r="F17" s="89">
        <f>E17*D17*0.12*12</f>
        <v>38.016000000000005</v>
      </c>
      <c r="G17" s="293">
        <f>F17/12</f>
        <v>3.1680000000000006</v>
      </c>
    </row>
    <row r="18" spans="1:9" ht="15">
      <c r="A18" s="84"/>
      <c r="B18" s="259"/>
      <c r="C18" s="103"/>
      <c r="D18" s="125">
        <v>4.3</v>
      </c>
      <c r="E18" s="105">
        <v>5.16</v>
      </c>
      <c r="F18" s="89">
        <f>E18*D18*0.12*12</f>
        <v>31.950719999999997</v>
      </c>
      <c r="G18" s="159">
        <f>F18/12</f>
        <v>2.6625599999999996</v>
      </c>
    </row>
    <row r="19" spans="1:9" ht="15">
      <c r="A19" s="84"/>
      <c r="B19" s="259"/>
      <c r="C19" s="103"/>
      <c r="D19" s="156"/>
      <c r="E19" s="105"/>
      <c r="F19" s="89"/>
      <c r="G19" s="159"/>
    </row>
    <row r="20" spans="1:9" ht="15">
      <c r="A20" s="84"/>
      <c r="B20" s="259"/>
      <c r="C20" s="103"/>
      <c r="D20" s="292">
        <v>5.8</v>
      </c>
      <c r="E20" s="105">
        <v>6</v>
      </c>
      <c r="F20" s="89">
        <f>E20*D20*0.65*12</f>
        <v>271.43999999999994</v>
      </c>
      <c r="G20" s="293">
        <f>F20/12</f>
        <v>22.619999999999994</v>
      </c>
    </row>
    <row r="21" spans="1:9" ht="15">
      <c r="A21" s="84"/>
      <c r="B21" s="259"/>
      <c r="C21" s="103"/>
      <c r="D21" s="125">
        <v>5.6</v>
      </c>
      <c r="E21" s="105">
        <v>5.16</v>
      </c>
      <c r="F21" s="89">
        <f>E21*D21*0.65*12</f>
        <v>225.3888</v>
      </c>
      <c r="G21" s="159">
        <f>F21/12</f>
        <v>18.782399999999999</v>
      </c>
    </row>
    <row r="22" spans="1:9" ht="14.25">
      <c r="A22" s="84"/>
      <c r="B22" s="259"/>
      <c r="C22" s="103"/>
      <c r="D22" s="156"/>
      <c r="E22" s="105"/>
      <c r="F22" s="89"/>
      <c r="G22" s="89"/>
    </row>
    <row r="23" spans="1:9" ht="14.25">
      <c r="A23" s="84" t="s">
        <v>436</v>
      </c>
      <c r="B23" s="259" t="s">
        <v>133</v>
      </c>
      <c r="C23" s="103"/>
      <c r="D23" s="156"/>
      <c r="E23" s="105"/>
      <c r="F23" s="89">
        <f>F24+F25</f>
        <v>2332.4565419999999</v>
      </c>
      <c r="G23" s="154">
        <f>F23/12</f>
        <v>194.37137849999999</v>
      </c>
    </row>
    <row r="24" spans="1:9">
      <c r="A24" s="122"/>
      <c r="B24" s="62" t="s">
        <v>199</v>
      </c>
      <c r="C24" s="73" t="s">
        <v>613</v>
      </c>
      <c r="D24" s="75">
        <v>2.4</v>
      </c>
      <c r="E24" s="204">
        <v>1181.5283999999999</v>
      </c>
      <c r="F24" s="89">
        <f>E24*D24*0.65</f>
        <v>1843.1843039999999</v>
      </c>
      <c r="G24" s="89">
        <f>F24/12</f>
        <v>153.598692</v>
      </c>
    </row>
    <row r="25" spans="1:9">
      <c r="A25" s="122"/>
      <c r="B25" s="62" t="s">
        <v>200</v>
      </c>
      <c r="C25" s="73" t="s">
        <v>612</v>
      </c>
      <c r="D25" s="89">
        <v>1.3</v>
      </c>
      <c r="E25" s="204">
        <v>1075.3235999999999</v>
      </c>
      <c r="F25" s="89">
        <f>E25*D25*0.35</f>
        <v>489.27223799999996</v>
      </c>
      <c r="G25" s="89">
        <f>F25/12</f>
        <v>40.772686499999999</v>
      </c>
    </row>
    <row r="26" spans="1:9">
      <c r="A26" s="122"/>
      <c r="B26" s="62"/>
      <c r="C26" s="73"/>
      <c r="D26" s="89"/>
      <c r="E26" s="204"/>
      <c r="F26" s="89"/>
      <c r="G26" s="89"/>
    </row>
    <row r="27" spans="1:9" ht="14.25">
      <c r="A27" s="123" t="s">
        <v>437</v>
      </c>
      <c r="B27" s="95" t="s">
        <v>82</v>
      </c>
      <c r="C27" s="73"/>
      <c r="D27" s="75"/>
      <c r="E27" s="63"/>
      <c r="F27" s="89">
        <f>F28+F29+F30+F31</f>
        <v>337.6395348837209</v>
      </c>
      <c r="G27" s="154">
        <f t="shared" ref="G27:G34" si="0">F27/12</f>
        <v>28.136627906976742</v>
      </c>
    </row>
    <row r="28" spans="1:9" ht="38.25">
      <c r="A28" s="122"/>
      <c r="B28" s="359" t="s">
        <v>661</v>
      </c>
      <c r="C28" s="360" t="s">
        <v>660</v>
      </c>
      <c r="D28" s="361">
        <v>1320</v>
      </c>
      <c r="E28" s="347">
        <v>0.56999999999999995</v>
      </c>
      <c r="F28" s="89">
        <f>(100*12*E28)*95/100/D$8</f>
        <v>251.86046511627904</v>
      </c>
      <c r="G28" s="89">
        <f t="shared" si="0"/>
        <v>20.988372093023255</v>
      </c>
      <c r="I28" s="55"/>
    </row>
    <row r="29" spans="1:9">
      <c r="A29" s="122"/>
      <c r="B29" s="62" t="s">
        <v>662</v>
      </c>
      <c r="C29" s="73"/>
      <c r="D29" s="89"/>
      <c r="E29" s="347">
        <v>0.99</v>
      </c>
      <c r="F29" s="89">
        <f>((1320-100*12)*E29)*95/100/D$8</f>
        <v>43.744186046511629</v>
      </c>
      <c r="G29" s="89">
        <f t="shared" si="0"/>
        <v>3.6453488372093026</v>
      </c>
      <c r="I29" s="55"/>
    </row>
    <row r="30" spans="1:9" ht="38.25">
      <c r="A30" s="122"/>
      <c r="B30" s="359" t="s">
        <v>663</v>
      </c>
      <c r="C30" s="73"/>
      <c r="D30" s="361">
        <v>2700</v>
      </c>
      <c r="E30" s="347">
        <v>0.56999999999999995</v>
      </c>
      <c r="F30" s="89">
        <f>(100*12*E30)*5/100/D$8</f>
        <v>13.255813953488371</v>
      </c>
      <c r="G30" s="89">
        <f t="shared" si="0"/>
        <v>1.1046511627906976</v>
      </c>
    </row>
    <row r="31" spans="1:9">
      <c r="A31" s="122"/>
      <c r="B31" s="62" t="s">
        <v>662</v>
      </c>
      <c r="C31" s="73"/>
      <c r="D31" s="75"/>
      <c r="E31" s="347">
        <v>0.99</v>
      </c>
      <c r="F31" s="89">
        <f>((2700-100*12)*E31)*5/100/D$8</f>
        <v>28.779069767441861</v>
      </c>
      <c r="G31" s="89">
        <f t="shared" si="0"/>
        <v>2.3982558139534884</v>
      </c>
    </row>
    <row r="32" spans="1:9" ht="14.25">
      <c r="A32" s="123" t="s">
        <v>445</v>
      </c>
      <c r="B32" s="95" t="s">
        <v>599</v>
      </c>
      <c r="C32" s="73"/>
      <c r="D32" s="75"/>
      <c r="E32" s="63"/>
      <c r="F32" s="89">
        <f>F33+F34+F36+F38+F40</f>
        <v>202.34418604651162</v>
      </c>
      <c r="G32" s="154">
        <f t="shared" si="0"/>
        <v>16.86201550387597</v>
      </c>
      <c r="H32" s="318"/>
    </row>
    <row r="33" spans="1:9">
      <c r="A33" s="294"/>
      <c r="B33" s="62" t="s">
        <v>136</v>
      </c>
      <c r="C33" s="73" t="s">
        <v>614</v>
      </c>
      <c r="D33" s="125">
        <v>52</v>
      </c>
      <c r="E33" s="63">
        <v>4.26</v>
      </c>
      <c r="F33" s="89">
        <f>E33*D33/D8</f>
        <v>85.860465116279059</v>
      </c>
      <c r="G33" s="89">
        <f t="shared" si="0"/>
        <v>7.1550387596899219</v>
      </c>
    </row>
    <row r="34" spans="1:9">
      <c r="A34" s="294"/>
      <c r="B34" s="62" t="s">
        <v>137</v>
      </c>
      <c r="C34" s="73" t="s">
        <v>175</v>
      </c>
      <c r="D34" s="125">
        <v>15</v>
      </c>
      <c r="E34" s="63">
        <v>0.12</v>
      </c>
      <c r="F34" s="75">
        <f>D34*E34*12</f>
        <v>21.599999999999998</v>
      </c>
      <c r="G34" s="89">
        <f t="shared" si="0"/>
        <v>1.7999999999999998</v>
      </c>
    </row>
    <row r="35" spans="1:9">
      <c r="A35" s="294"/>
      <c r="B35" s="62" t="s">
        <v>355</v>
      </c>
      <c r="C35" s="73" t="s">
        <v>615</v>
      </c>
      <c r="D35" s="125"/>
      <c r="E35" s="63"/>
      <c r="F35" s="75"/>
      <c r="G35" s="89"/>
    </row>
    <row r="36" spans="1:9">
      <c r="A36" s="294"/>
      <c r="B36" s="62" t="s">
        <v>138</v>
      </c>
      <c r="C36" s="73" t="s">
        <v>617</v>
      </c>
      <c r="D36" s="93">
        <v>1</v>
      </c>
      <c r="E36" s="63">
        <v>2.4</v>
      </c>
      <c r="F36" s="89">
        <f>E36*D36/D8*12</f>
        <v>11.162790697674419</v>
      </c>
      <c r="G36" s="89">
        <f>F36/12</f>
        <v>0.93023255813953487</v>
      </c>
    </row>
    <row r="37" spans="1:9">
      <c r="A37" s="294"/>
      <c r="B37" s="62"/>
      <c r="C37" s="73" t="s">
        <v>616</v>
      </c>
      <c r="D37" s="93"/>
      <c r="E37" s="63"/>
      <c r="F37" s="89"/>
      <c r="G37" s="89"/>
    </row>
    <row r="38" spans="1:9">
      <c r="A38" s="294"/>
      <c r="B38" s="62" t="s">
        <v>139</v>
      </c>
      <c r="C38" s="73" t="s">
        <v>618</v>
      </c>
      <c r="D38" s="89">
        <v>1</v>
      </c>
      <c r="E38" s="63">
        <v>17</v>
      </c>
      <c r="F38" s="89">
        <f>E38*D38*12/D8</f>
        <v>79.069767441860463</v>
      </c>
      <c r="G38" s="89">
        <f>F38/12</f>
        <v>6.5891472868217056</v>
      </c>
    </row>
    <row r="39" spans="1:9">
      <c r="A39" s="294"/>
      <c r="B39" s="62"/>
      <c r="C39" s="73" t="s">
        <v>619</v>
      </c>
      <c r="D39" s="89"/>
      <c r="E39" s="63"/>
      <c r="F39" s="89"/>
      <c r="G39" s="89"/>
    </row>
    <row r="40" spans="1:9">
      <c r="A40" s="294"/>
      <c r="B40" s="62" t="s">
        <v>140</v>
      </c>
      <c r="C40" s="73" t="s">
        <v>618</v>
      </c>
      <c r="D40" s="89">
        <v>1</v>
      </c>
      <c r="E40" s="295">
        <v>1</v>
      </c>
      <c r="F40" s="89">
        <f>E40*D40*12/D8</f>
        <v>4.6511627906976747</v>
      </c>
      <c r="G40" s="89">
        <f>F40/12</f>
        <v>0.38759689922480622</v>
      </c>
      <c r="I40" s="55"/>
    </row>
    <row r="41" spans="1:9">
      <c r="A41" s="294"/>
      <c r="B41" s="62"/>
      <c r="C41" s="73" t="s">
        <v>619</v>
      </c>
      <c r="D41" s="89"/>
      <c r="E41" s="295"/>
      <c r="F41" s="89"/>
      <c r="G41" s="89"/>
      <c r="I41" s="55"/>
    </row>
    <row r="42" spans="1:9" ht="14.25">
      <c r="A42" s="294" t="s">
        <v>452</v>
      </c>
      <c r="B42" s="296" t="s">
        <v>636</v>
      </c>
      <c r="C42" s="73" t="s">
        <v>609</v>
      </c>
      <c r="D42" s="125">
        <v>12</v>
      </c>
      <c r="E42" s="88">
        <f>(51.21+15.29+44.76)/3</f>
        <v>37.086666666666666</v>
      </c>
      <c r="F42" s="89">
        <f>E42*D42/D8</f>
        <v>172.49612403100772</v>
      </c>
      <c r="G42" s="154">
        <f>F42/12</f>
        <v>14.374677002583978</v>
      </c>
    </row>
    <row r="43" spans="1:9">
      <c r="A43" s="122"/>
      <c r="B43" s="59" t="s">
        <v>179</v>
      </c>
      <c r="C43" s="73" t="s">
        <v>178</v>
      </c>
      <c r="D43" s="75"/>
      <c r="E43" s="72"/>
      <c r="F43" s="75"/>
      <c r="G43" s="75"/>
    </row>
    <row r="44" spans="1:9">
      <c r="A44" s="122"/>
      <c r="B44" s="59" t="s">
        <v>610</v>
      </c>
      <c r="C44" s="73" t="s">
        <v>620</v>
      </c>
      <c r="D44" s="75"/>
      <c r="E44" s="72"/>
      <c r="F44" s="75"/>
      <c r="G44" s="75"/>
      <c r="H44" s="318"/>
    </row>
    <row r="45" spans="1:9">
      <c r="A45" s="90"/>
      <c r="B45" s="81" t="s">
        <v>295</v>
      </c>
      <c r="C45" s="73" t="s">
        <v>619</v>
      </c>
      <c r="D45" s="75"/>
      <c r="E45" s="74"/>
      <c r="F45" s="75"/>
      <c r="G45" s="75"/>
    </row>
    <row r="46" spans="1:9" ht="14.25">
      <c r="A46" s="288"/>
      <c r="B46" s="183"/>
      <c r="C46" s="132"/>
      <c r="D46" s="141"/>
      <c r="E46" s="297"/>
      <c r="F46" s="186"/>
      <c r="G46" s="132"/>
    </row>
    <row r="47" spans="1:9">
      <c r="C47" s="5"/>
      <c r="D47" s="5"/>
      <c r="E47" s="5"/>
      <c r="F47" s="5"/>
      <c r="G47" s="5"/>
    </row>
  </sheetData>
  <mergeCells count="1">
    <mergeCell ref="A1:G1"/>
  </mergeCells>
  <phoneticPr fontId="30" type="noConversion"/>
  <pageMargins left="0.75" right="0.28000000000000003" top="0.63" bottom="1" header="1.1399999999999999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I38" sqref="I38"/>
    </sheetView>
  </sheetViews>
  <sheetFormatPr defaultRowHeight="12.75"/>
  <cols>
    <col min="1" max="1" width="5.140625" style="51" customWidth="1"/>
    <col min="2" max="2" width="27.7109375" customWidth="1"/>
    <col min="3" max="3" width="14.140625" customWidth="1"/>
    <col min="7" max="7" width="9.85546875" customWidth="1"/>
  </cols>
  <sheetData>
    <row r="1" spans="1:12" ht="14.25">
      <c r="A1" s="406" t="s">
        <v>347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2">
      <c r="A2" s="187"/>
      <c r="B2" s="101"/>
      <c r="C2" s="117"/>
      <c r="D2" s="117"/>
      <c r="E2" s="117"/>
      <c r="F2" s="117"/>
      <c r="G2" s="101"/>
      <c r="H2" s="101"/>
      <c r="I2" s="59"/>
      <c r="J2" s="59"/>
      <c r="K2" s="59"/>
      <c r="L2" s="59"/>
    </row>
    <row r="3" spans="1:12">
      <c r="A3" s="71" t="s">
        <v>8</v>
      </c>
      <c r="B3" s="75" t="s">
        <v>141</v>
      </c>
      <c r="C3" s="72" t="s">
        <v>103</v>
      </c>
      <c r="D3" s="73" t="s">
        <v>600</v>
      </c>
      <c r="E3" s="398" t="s">
        <v>534</v>
      </c>
      <c r="F3" s="399"/>
      <c r="G3" s="399"/>
      <c r="H3" s="400"/>
      <c r="I3" s="407" t="s">
        <v>535</v>
      </c>
      <c r="J3" s="408"/>
      <c r="K3" s="408"/>
      <c r="L3" s="409"/>
    </row>
    <row r="4" spans="1:12">
      <c r="A4" s="71" t="s">
        <v>373</v>
      </c>
      <c r="B4" s="75" t="s">
        <v>142</v>
      </c>
      <c r="C4" s="72" t="s">
        <v>81</v>
      </c>
      <c r="D4" s="73" t="s">
        <v>666</v>
      </c>
      <c r="E4" s="155" t="s">
        <v>80</v>
      </c>
      <c r="F4" s="73" t="s">
        <v>80</v>
      </c>
      <c r="G4" s="80" t="s">
        <v>163</v>
      </c>
      <c r="H4" s="80" t="s">
        <v>165</v>
      </c>
      <c r="I4" s="73" t="s">
        <v>80</v>
      </c>
      <c r="J4" s="73" t="s">
        <v>80</v>
      </c>
      <c r="K4" s="80" t="s">
        <v>163</v>
      </c>
      <c r="L4" s="73" t="s">
        <v>165</v>
      </c>
    </row>
    <row r="5" spans="1:12">
      <c r="A5" s="122"/>
      <c r="B5" s="75"/>
      <c r="C5" s="72"/>
      <c r="D5" s="73" t="s">
        <v>665</v>
      </c>
      <c r="E5" s="155" t="s">
        <v>159</v>
      </c>
      <c r="F5" s="73" t="s">
        <v>161</v>
      </c>
      <c r="G5" s="155" t="s">
        <v>164</v>
      </c>
      <c r="H5" s="80" t="s">
        <v>166</v>
      </c>
      <c r="I5" s="73" t="s">
        <v>159</v>
      </c>
      <c r="J5" s="73" t="s">
        <v>161</v>
      </c>
      <c r="K5" s="155" t="s">
        <v>164</v>
      </c>
      <c r="L5" s="73" t="s">
        <v>166</v>
      </c>
    </row>
    <row r="6" spans="1:12">
      <c r="A6" s="122"/>
      <c r="B6" s="81"/>
      <c r="C6" s="72"/>
      <c r="D6" s="77"/>
      <c r="E6" s="155" t="s">
        <v>160</v>
      </c>
      <c r="F6" s="73" t="s">
        <v>160</v>
      </c>
      <c r="G6" s="188"/>
      <c r="H6" s="73" t="s">
        <v>167</v>
      </c>
      <c r="I6" s="155" t="s">
        <v>160</v>
      </c>
      <c r="J6" s="73" t="s">
        <v>160</v>
      </c>
      <c r="K6" s="62"/>
      <c r="L6" s="73" t="s">
        <v>167</v>
      </c>
    </row>
    <row r="7" spans="1:12">
      <c r="A7" s="122"/>
      <c r="B7" s="81"/>
      <c r="C7" s="72"/>
      <c r="D7" s="73"/>
      <c r="E7" s="155"/>
      <c r="F7" s="73" t="s">
        <v>162</v>
      </c>
      <c r="G7" s="189"/>
      <c r="H7" s="73" t="s">
        <v>116</v>
      </c>
      <c r="I7" s="62"/>
      <c r="J7" s="73" t="s">
        <v>162</v>
      </c>
      <c r="K7" s="155"/>
      <c r="L7" s="73" t="s">
        <v>116</v>
      </c>
    </row>
    <row r="8" spans="1:12">
      <c r="A8" s="71"/>
      <c r="B8" s="75"/>
      <c r="C8" s="72"/>
      <c r="D8" s="81"/>
      <c r="E8" s="155"/>
      <c r="F8" s="73"/>
      <c r="G8" s="155"/>
      <c r="H8" s="80"/>
      <c r="I8" s="73"/>
      <c r="J8" s="62"/>
      <c r="K8" s="80"/>
      <c r="L8" s="81"/>
    </row>
    <row r="9" spans="1:12">
      <c r="A9" s="190"/>
      <c r="B9" s="61"/>
      <c r="C9" s="59"/>
      <c r="D9" s="73" t="s">
        <v>655</v>
      </c>
      <c r="E9" s="188"/>
      <c r="F9" s="191"/>
      <c r="G9" s="188"/>
      <c r="H9" s="131"/>
      <c r="I9" s="305" t="s">
        <v>655</v>
      </c>
      <c r="J9" s="150" t="s">
        <v>655</v>
      </c>
      <c r="K9" s="305" t="s">
        <v>655</v>
      </c>
      <c r="L9" s="150" t="s">
        <v>655</v>
      </c>
    </row>
    <row r="10" spans="1:12">
      <c r="A10" s="66"/>
      <c r="B10" s="70"/>
      <c r="C10" s="176"/>
      <c r="D10" s="70"/>
      <c r="E10" s="176"/>
      <c r="F10" s="70"/>
      <c r="G10" s="69"/>
      <c r="H10" s="69"/>
      <c r="I10" s="70"/>
      <c r="J10" s="176"/>
      <c r="K10" s="70"/>
      <c r="L10" s="70"/>
    </row>
    <row r="11" spans="1:12">
      <c r="A11" s="71">
        <v>1</v>
      </c>
      <c r="B11" s="81" t="s">
        <v>143</v>
      </c>
      <c r="C11" s="103" t="s">
        <v>149</v>
      </c>
      <c r="D11" s="192">
        <v>55.75</v>
      </c>
      <c r="E11" s="193" t="s">
        <v>90</v>
      </c>
      <c r="F11" s="125">
        <v>1</v>
      </c>
      <c r="G11" s="194">
        <v>2</v>
      </c>
      <c r="H11" s="125">
        <v>2</v>
      </c>
      <c r="I11" s="72" t="s">
        <v>90</v>
      </c>
      <c r="J11" s="89">
        <f>D11*F11</f>
        <v>55.75</v>
      </c>
      <c r="K11" s="88">
        <f>D11*G11</f>
        <v>111.5</v>
      </c>
      <c r="L11" s="89">
        <f>D11*H11</f>
        <v>111.5</v>
      </c>
    </row>
    <row r="12" spans="1:12">
      <c r="A12" s="71" t="s">
        <v>435</v>
      </c>
      <c r="B12" s="59" t="s">
        <v>298</v>
      </c>
      <c r="C12" s="73" t="s">
        <v>153</v>
      </c>
      <c r="D12" s="192">
        <v>38.36</v>
      </c>
      <c r="E12" s="75" t="s">
        <v>90</v>
      </c>
      <c r="F12" s="72">
        <v>0.2</v>
      </c>
      <c r="G12" s="75">
        <v>0.3</v>
      </c>
      <c r="H12" s="72">
        <v>0.3</v>
      </c>
      <c r="I12" s="75" t="s">
        <v>90</v>
      </c>
      <c r="J12" s="89">
        <f>D12*F12</f>
        <v>7.6720000000000006</v>
      </c>
      <c r="K12" s="89">
        <f>D12*G12</f>
        <v>11.507999999999999</v>
      </c>
      <c r="L12" s="89">
        <f>D12*H12</f>
        <v>11.507999999999999</v>
      </c>
    </row>
    <row r="13" spans="1:12">
      <c r="A13" s="71" t="s">
        <v>436</v>
      </c>
      <c r="B13" s="81" t="s">
        <v>144</v>
      </c>
      <c r="C13" s="103" t="s">
        <v>150</v>
      </c>
      <c r="D13" s="195">
        <v>159.65</v>
      </c>
      <c r="E13" s="103" t="s">
        <v>90</v>
      </c>
      <c r="F13" s="89" t="s">
        <v>90</v>
      </c>
      <c r="G13" s="72">
        <v>0.3</v>
      </c>
      <c r="H13" s="75">
        <v>0.3</v>
      </c>
      <c r="I13" s="72" t="s">
        <v>90</v>
      </c>
      <c r="J13" s="89" t="s">
        <v>90</v>
      </c>
      <c r="K13" s="88">
        <f>D13*G13</f>
        <v>47.895000000000003</v>
      </c>
      <c r="L13" s="89">
        <f>D13*H13</f>
        <v>47.895000000000003</v>
      </c>
    </row>
    <row r="14" spans="1:12">
      <c r="A14" s="71" t="s">
        <v>437</v>
      </c>
      <c r="B14" s="81" t="s">
        <v>208</v>
      </c>
      <c r="C14" s="103" t="s">
        <v>537</v>
      </c>
      <c r="D14" s="195">
        <v>504.21</v>
      </c>
      <c r="E14" s="103" t="s">
        <v>90</v>
      </c>
      <c r="F14" s="89" t="s">
        <v>90</v>
      </c>
      <c r="G14" s="72">
        <v>0.2</v>
      </c>
      <c r="H14" s="75">
        <v>0.2</v>
      </c>
      <c r="I14" s="72" t="s">
        <v>90</v>
      </c>
      <c r="J14" s="89" t="s">
        <v>90</v>
      </c>
      <c r="K14" s="88">
        <f>D14*G14</f>
        <v>100.842</v>
      </c>
      <c r="L14" s="89">
        <f>D14*H14</f>
        <v>100.842</v>
      </c>
    </row>
    <row r="15" spans="1:12">
      <c r="A15" s="71"/>
      <c r="B15" s="81" t="s">
        <v>207</v>
      </c>
      <c r="C15" s="103" t="s">
        <v>536</v>
      </c>
      <c r="D15" s="195"/>
      <c r="E15" s="103"/>
      <c r="F15" s="81"/>
      <c r="G15" s="72"/>
      <c r="H15" s="75"/>
      <c r="I15" s="72"/>
      <c r="J15" s="89"/>
      <c r="K15" s="88"/>
      <c r="L15" s="89"/>
    </row>
    <row r="16" spans="1:12">
      <c r="A16" s="71" t="s">
        <v>445</v>
      </c>
      <c r="B16" s="81" t="s">
        <v>145</v>
      </c>
      <c r="C16" s="103" t="s">
        <v>151</v>
      </c>
      <c r="D16" s="195">
        <v>48.21</v>
      </c>
      <c r="E16" s="103" t="s">
        <v>90</v>
      </c>
      <c r="F16" s="125">
        <v>0.1</v>
      </c>
      <c r="G16" s="72">
        <v>0.2</v>
      </c>
      <c r="H16" s="75">
        <v>0.2</v>
      </c>
      <c r="I16" s="72" t="s">
        <v>90</v>
      </c>
      <c r="J16" s="89">
        <f>D16*F16</f>
        <v>4.8210000000000006</v>
      </c>
      <c r="K16" s="88">
        <f>D16*G16</f>
        <v>9.6420000000000012</v>
      </c>
      <c r="L16" s="89">
        <f t="shared" ref="L16:L21" si="0">D16*H16</f>
        <v>9.6420000000000012</v>
      </c>
    </row>
    <row r="17" spans="1:12">
      <c r="A17" s="71" t="s">
        <v>452</v>
      </c>
      <c r="B17" s="59" t="s">
        <v>310</v>
      </c>
      <c r="C17" s="73" t="s">
        <v>155</v>
      </c>
      <c r="D17" s="192">
        <v>74.790000000000006</v>
      </c>
      <c r="E17" s="75" t="s">
        <v>90</v>
      </c>
      <c r="F17" s="72" t="s">
        <v>90</v>
      </c>
      <c r="G17" s="75">
        <v>0.1</v>
      </c>
      <c r="H17" s="72">
        <v>0.1</v>
      </c>
      <c r="I17" s="75" t="s">
        <v>90</v>
      </c>
      <c r="J17" s="72" t="s">
        <v>90</v>
      </c>
      <c r="K17" s="89">
        <f>D17*G17</f>
        <v>7.479000000000001</v>
      </c>
      <c r="L17" s="89">
        <f t="shared" si="0"/>
        <v>7.479000000000001</v>
      </c>
    </row>
    <row r="18" spans="1:12">
      <c r="A18" s="71" t="s">
        <v>453</v>
      </c>
      <c r="B18" s="59" t="s">
        <v>635</v>
      </c>
      <c r="C18" s="73" t="s">
        <v>152</v>
      </c>
      <c r="D18" s="195">
        <v>163.55000000000001</v>
      </c>
      <c r="E18" s="73" t="s">
        <v>90</v>
      </c>
      <c r="F18" s="194">
        <v>0.5</v>
      </c>
      <c r="G18" s="125">
        <v>1</v>
      </c>
      <c r="H18" s="72">
        <v>0.5</v>
      </c>
      <c r="I18" s="75" t="s">
        <v>90</v>
      </c>
      <c r="J18" s="88">
        <f>D18*F18</f>
        <v>81.775000000000006</v>
      </c>
      <c r="K18" s="89">
        <f>D18*G18</f>
        <v>163.55000000000001</v>
      </c>
      <c r="L18" s="89">
        <f t="shared" si="0"/>
        <v>81.775000000000006</v>
      </c>
    </row>
    <row r="19" spans="1:12">
      <c r="A19" s="71" t="s">
        <v>458</v>
      </c>
      <c r="B19" s="59" t="s">
        <v>311</v>
      </c>
      <c r="C19" s="75" t="s">
        <v>87</v>
      </c>
      <c r="D19" s="195">
        <v>16.440000000000001</v>
      </c>
      <c r="E19" s="75" t="s">
        <v>90</v>
      </c>
      <c r="F19" s="72" t="s">
        <v>90</v>
      </c>
      <c r="G19" s="75" t="s">
        <v>90</v>
      </c>
      <c r="H19" s="194">
        <v>2</v>
      </c>
      <c r="I19" s="75" t="s">
        <v>90</v>
      </c>
      <c r="J19" s="72" t="s">
        <v>90</v>
      </c>
      <c r="K19" s="75" t="s">
        <v>90</v>
      </c>
      <c r="L19" s="75">
        <f t="shared" si="0"/>
        <v>32.880000000000003</v>
      </c>
    </row>
    <row r="20" spans="1:12">
      <c r="A20" s="71" t="s">
        <v>465</v>
      </c>
      <c r="B20" s="59" t="s">
        <v>146</v>
      </c>
      <c r="C20" s="73" t="s">
        <v>154</v>
      </c>
      <c r="D20" s="195">
        <v>44.31</v>
      </c>
      <c r="E20" s="75" t="s">
        <v>90</v>
      </c>
      <c r="F20" s="75">
        <v>0.5</v>
      </c>
      <c r="G20" s="194">
        <v>1</v>
      </c>
      <c r="H20" s="125">
        <v>1</v>
      </c>
      <c r="I20" s="72" t="s">
        <v>90</v>
      </c>
      <c r="J20" s="196">
        <f>D20*F20</f>
        <v>22.155000000000001</v>
      </c>
      <c r="K20" s="89">
        <f>D20*G20</f>
        <v>44.31</v>
      </c>
      <c r="L20" s="89">
        <f t="shared" si="0"/>
        <v>44.31</v>
      </c>
    </row>
    <row r="21" spans="1:12">
      <c r="A21" s="71" t="s">
        <v>466</v>
      </c>
      <c r="B21" s="59" t="s">
        <v>147</v>
      </c>
      <c r="C21" s="73" t="s">
        <v>155</v>
      </c>
      <c r="D21" s="195">
        <v>33.21</v>
      </c>
      <c r="E21" s="75" t="s">
        <v>90</v>
      </c>
      <c r="F21" s="75">
        <v>0.2</v>
      </c>
      <c r="G21" s="72">
        <v>0.2</v>
      </c>
      <c r="H21" s="75">
        <v>0.1</v>
      </c>
      <c r="I21" s="72" t="s">
        <v>90</v>
      </c>
      <c r="J21" s="89">
        <f>D21*F21</f>
        <v>6.6420000000000003</v>
      </c>
      <c r="K21" s="88">
        <f>D21*G21</f>
        <v>6.6420000000000003</v>
      </c>
      <c r="L21" s="89">
        <f t="shared" si="0"/>
        <v>3.3210000000000002</v>
      </c>
    </row>
    <row r="22" spans="1:12">
      <c r="A22" s="71"/>
      <c r="B22" s="59"/>
      <c r="C22" s="73" t="s">
        <v>156</v>
      </c>
      <c r="D22" s="195"/>
      <c r="E22" s="89"/>
      <c r="F22" s="89"/>
      <c r="G22" s="59"/>
      <c r="H22" s="81"/>
      <c r="I22" s="72"/>
      <c r="J22" s="89"/>
      <c r="K22" s="88"/>
      <c r="L22" s="89"/>
    </row>
    <row r="23" spans="1:12">
      <c r="A23" s="71" t="s">
        <v>469</v>
      </c>
      <c r="B23" s="59" t="s">
        <v>148</v>
      </c>
      <c r="C23" s="73" t="s">
        <v>157</v>
      </c>
      <c r="D23" s="192">
        <f>(104.77+57.99)/2</f>
        <v>81.38</v>
      </c>
      <c r="E23" s="75">
        <v>0.4</v>
      </c>
      <c r="F23" s="125">
        <v>4</v>
      </c>
      <c r="G23" s="194">
        <v>4</v>
      </c>
      <c r="H23" s="125">
        <v>4</v>
      </c>
      <c r="I23" s="88">
        <f>D23*E23</f>
        <v>32.552</v>
      </c>
      <c r="J23" s="89">
        <f>D23*F23</f>
        <v>325.52</v>
      </c>
      <c r="K23" s="88">
        <f>D23*G23</f>
        <v>325.52</v>
      </c>
      <c r="L23" s="89">
        <f>D23*H23</f>
        <v>325.52</v>
      </c>
    </row>
    <row r="24" spans="1:12">
      <c r="A24" s="190"/>
      <c r="B24" s="101"/>
      <c r="C24" s="119" t="s">
        <v>158</v>
      </c>
      <c r="D24" s="117"/>
      <c r="E24" s="132"/>
      <c r="F24" s="132"/>
      <c r="G24" s="101"/>
      <c r="H24" s="61"/>
      <c r="I24" s="101"/>
      <c r="J24" s="61"/>
      <c r="K24" s="101"/>
      <c r="L24" s="61"/>
    </row>
    <row r="25" spans="1:12" ht="14.25">
      <c r="A25" s="197" t="s">
        <v>377</v>
      </c>
      <c r="B25" s="59"/>
      <c r="C25" s="72"/>
      <c r="D25" s="59"/>
      <c r="E25" s="59"/>
      <c r="F25" s="59"/>
      <c r="G25" s="59"/>
      <c r="H25" s="59"/>
      <c r="I25" s="198">
        <f>I23</f>
        <v>32.552</v>
      </c>
      <c r="J25" s="198">
        <f>SUM(J11:J24)</f>
        <v>504.33499999999998</v>
      </c>
      <c r="K25" s="198">
        <f>SUM(K11:K24)</f>
        <v>828.88799999999992</v>
      </c>
      <c r="L25" s="199">
        <f>SUM(L11:L24)</f>
        <v>776.67200000000003</v>
      </c>
    </row>
    <row r="26" spans="1:12" ht="14.25">
      <c r="A26" s="140" t="s">
        <v>378</v>
      </c>
      <c r="B26" s="101"/>
      <c r="C26" s="101"/>
      <c r="D26" s="101"/>
      <c r="E26" s="101"/>
      <c r="F26" s="101"/>
      <c r="G26" s="101"/>
      <c r="H26" s="101"/>
      <c r="I26" s="200">
        <f>I25/12</f>
        <v>2.7126666666666668</v>
      </c>
      <c r="J26" s="200">
        <f>J25/12</f>
        <v>42.027916666666663</v>
      </c>
      <c r="K26" s="200">
        <f>K25/12</f>
        <v>69.073999999999998</v>
      </c>
      <c r="L26" s="201">
        <f>L25/12</f>
        <v>64.722666666666669</v>
      </c>
    </row>
    <row r="28" spans="1:12">
      <c r="A28"/>
    </row>
    <row r="29" spans="1:12">
      <c r="A29"/>
    </row>
    <row r="30" spans="1:12">
      <c r="A30"/>
    </row>
    <row r="31" spans="1:12">
      <c r="A31"/>
    </row>
    <row r="32" spans="1:12">
      <c r="A32"/>
    </row>
    <row r="33" spans="1:1">
      <c r="A33"/>
    </row>
  </sheetData>
  <mergeCells count="3">
    <mergeCell ref="A1:L1"/>
    <mergeCell ref="I3:L3"/>
    <mergeCell ref="E3:H3"/>
  </mergeCells>
  <phoneticPr fontId="3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75" workbookViewId="0">
      <selection activeCell="C17" sqref="C17"/>
    </sheetView>
  </sheetViews>
  <sheetFormatPr defaultRowHeight="12.75"/>
  <cols>
    <col min="1" max="1" width="4" customWidth="1"/>
    <col min="2" max="2" width="31.85546875" customWidth="1"/>
    <col min="3" max="3" width="10.42578125" customWidth="1"/>
    <col min="9" max="9" width="9.85546875" bestFit="1" customWidth="1"/>
  </cols>
  <sheetData>
    <row r="1" spans="1:11" ht="14.25">
      <c r="A1" s="405" t="s">
        <v>420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1" ht="14.25">
      <c r="A2" s="62"/>
      <c r="B2" s="62"/>
      <c r="C2" s="63"/>
      <c r="D2" s="63"/>
      <c r="E2" s="63"/>
      <c r="F2" s="63"/>
      <c r="G2" s="63"/>
      <c r="H2" s="63"/>
      <c r="I2" s="145"/>
      <c r="J2" s="145"/>
      <c r="K2" s="145"/>
    </row>
    <row r="3" spans="1:11">
      <c r="A3" s="202"/>
      <c r="B3" s="70" t="s">
        <v>141</v>
      </c>
      <c r="C3" s="68" t="s">
        <v>106</v>
      </c>
      <c r="D3" s="203" t="s">
        <v>80</v>
      </c>
      <c r="E3" s="68" t="s">
        <v>80</v>
      </c>
      <c r="F3" s="82" t="s">
        <v>163</v>
      </c>
      <c r="G3" s="82" t="s">
        <v>165</v>
      </c>
      <c r="H3" s="68" t="s">
        <v>106</v>
      </c>
      <c r="I3" s="68" t="s">
        <v>106</v>
      </c>
      <c r="J3" s="203" t="s">
        <v>106</v>
      </c>
      <c r="K3" s="68" t="s">
        <v>106</v>
      </c>
    </row>
    <row r="4" spans="1:11">
      <c r="A4" s="79" t="s">
        <v>8</v>
      </c>
      <c r="B4" s="75" t="s">
        <v>142</v>
      </c>
      <c r="C4" s="73" t="s">
        <v>601</v>
      </c>
      <c r="D4" s="155" t="s">
        <v>159</v>
      </c>
      <c r="E4" s="73" t="s">
        <v>161</v>
      </c>
      <c r="F4" s="157" t="s">
        <v>164</v>
      </c>
      <c r="G4" s="80" t="s">
        <v>166</v>
      </c>
      <c r="H4" s="73" t="s">
        <v>105</v>
      </c>
      <c r="I4" s="73" t="s">
        <v>105</v>
      </c>
      <c r="J4" s="155" t="s">
        <v>105</v>
      </c>
      <c r="K4" s="73" t="s">
        <v>105</v>
      </c>
    </row>
    <row r="5" spans="1:11">
      <c r="A5" s="79" t="s">
        <v>373</v>
      </c>
      <c r="B5" s="81"/>
      <c r="C5" s="73" t="s">
        <v>666</v>
      </c>
      <c r="D5" s="155" t="s">
        <v>160</v>
      </c>
      <c r="E5" s="73" t="s">
        <v>160</v>
      </c>
      <c r="F5" s="157"/>
      <c r="G5" s="73" t="s">
        <v>167</v>
      </c>
      <c r="H5" s="155" t="s">
        <v>168</v>
      </c>
      <c r="I5" s="73" t="s">
        <v>168</v>
      </c>
      <c r="J5" s="80" t="s">
        <v>171</v>
      </c>
      <c r="K5" s="73" t="s">
        <v>173</v>
      </c>
    </row>
    <row r="6" spans="1:11">
      <c r="A6" s="79"/>
      <c r="B6" s="81"/>
      <c r="C6" s="73" t="s">
        <v>665</v>
      </c>
      <c r="D6" s="155"/>
      <c r="E6" s="73" t="s">
        <v>162</v>
      </c>
      <c r="F6" s="157"/>
      <c r="G6" s="73" t="s">
        <v>116</v>
      </c>
      <c r="H6" s="155" t="s">
        <v>159</v>
      </c>
      <c r="I6" s="73" t="s">
        <v>161</v>
      </c>
      <c r="J6" s="157" t="s">
        <v>172</v>
      </c>
      <c r="K6" s="73" t="s">
        <v>166</v>
      </c>
    </row>
    <row r="7" spans="1:11">
      <c r="A7" s="79"/>
      <c r="B7" s="81"/>
      <c r="C7" s="73"/>
      <c r="D7" s="155"/>
      <c r="E7" s="73"/>
      <c r="F7" s="80"/>
      <c r="G7" s="73"/>
      <c r="H7" s="155" t="s">
        <v>169</v>
      </c>
      <c r="I7" s="73" t="s">
        <v>160</v>
      </c>
      <c r="J7" s="157"/>
      <c r="K7" s="73" t="s">
        <v>167</v>
      </c>
    </row>
    <row r="8" spans="1:11">
      <c r="A8" s="75"/>
      <c r="B8" s="75"/>
      <c r="C8" s="73"/>
      <c r="D8" s="155"/>
      <c r="E8" s="73"/>
      <c r="F8" s="155"/>
      <c r="G8" s="80"/>
      <c r="H8" s="73"/>
      <c r="I8" s="103" t="s">
        <v>170</v>
      </c>
      <c r="J8" s="157"/>
      <c r="K8" s="73" t="s">
        <v>174</v>
      </c>
    </row>
    <row r="9" spans="1:11">
      <c r="A9" s="61"/>
      <c r="B9" s="61"/>
      <c r="C9" s="119" t="s">
        <v>655</v>
      </c>
      <c r="D9" s="157"/>
      <c r="E9" s="119"/>
      <c r="F9" s="157"/>
      <c r="G9" s="131"/>
      <c r="H9" s="73" t="s">
        <v>655</v>
      </c>
      <c r="I9" s="73" t="s">
        <v>655</v>
      </c>
      <c r="J9" s="73" t="s">
        <v>655</v>
      </c>
      <c r="K9" s="73" t="s">
        <v>655</v>
      </c>
    </row>
    <row r="10" spans="1:11">
      <c r="A10" s="70"/>
      <c r="B10" s="70"/>
      <c r="C10" s="70"/>
      <c r="D10" s="176"/>
      <c r="E10" s="70"/>
      <c r="F10" s="69"/>
      <c r="G10" s="69"/>
      <c r="H10" s="70"/>
      <c r="I10" s="176"/>
      <c r="J10" s="70"/>
      <c r="K10" s="70"/>
    </row>
    <row r="11" spans="1:11">
      <c r="A11" s="81"/>
      <c r="B11" s="81"/>
      <c r="C11" s="75"/>
      <c r="D11" s="63"/>
      <c r="E11" s="93"/>
      <c r="F11" s="63"/>
      <c r="G11" s="75"/>
      <c r="H11" s="63"/>
      <c r="I11" s="75"/>
      <c r="J11" s="63"/>
      <c r="K11" s="75"/>
    </row>
    <row r="12" spans="1:11">
      <c r="A12" s="118">
        <v>1</v>
      </c>
      <c r="B12" s="81" t="s">
        <v>348</v>
      </c>
      <c r="C12" s="105">
        <v>2.29</v>
      </c>
      <c r="D12" s="193" t="s">
        <v>90</v>
      </c>
      <c r="E12" s="93">
        <v>147</v>
      </c>
      <c r="F12" s="63">
        <v>524</v>
      </c>
      <c r="G12" s="75" t="s">
        <v>90</v>
      </c>
      <c r="H12" s="63" t="s">
        <v>90</v>
      </c>
      <c r="I12" s="89">
        <f>C12*E12*0.658</f>
        <v>221.50254000000001</v>
      </c>
      <c r="J12" s="204">
        <f>C12*F12*0.703</f>
        <v>843.57187999999996</v>
      </c>
      <c r="K12" s="89" t="s">
        <v>90</v>
      </c>
    </row>
    <row r="13" spans="1:11">
      <c r="A13" s="118"/>
      <c r="B13" s="81" t="s">
        <v>193</v>
      </c>
      <c r="C13" s="103"/>
      <c r="D13" s="103"/>
      <c r="E13" s="89"/>
      <c r="F13" s="63"/>
      <c r="G13" s="75"/>
      <c r="H13" s="63"/>
      <c r="I13" s="89"/>
      <c r="J13" s="204"/>
      <c r="K13" s="89"/>
    </row>
    <row r="14" spans="1:11">
      <c r="A14" s="118"/>
      <c r="B14" s="81" t="s">
        <v>194</v>
      </c>
      <c r="C14" s="103"/>
      <c r="D14" s="103"/>
      <c r="E14" s="89"/>
      <c r="F14" s="63"/>
      <c r="G14" s="75"/>
      <c r="H14" s="63"/>
      <c r="I14" s="89"/>
      <c r="J14" s="204"/>
      <c r="K14" s="89"/>
    </row>
    <row r="15" spans="1:11">
      <c r="A15" s="118"/>
      <c r="B15" s="81"/>
      <c r="C15" s="103"/>
      <c r="D15" s="103"/>
      <c r="E15" s="89"/>
      <c r="F15" s="63"/>
      <c r="G15" s="75"/>
      <c r="H15" s="63"/>
      <c r="I15" s="89"/>
      <c r="J15" s="204"/>
      <c r="K15" s="89"/>
    </row>
    <row r="16" spans="1:11">
      <c r="A16" s="118"/>
      <c r="B16" s="81"/>
      <c r="C16" s="103"/>
      <c r="D16" s="103"/>
      <c r="E16" s="89"/>
      <c r="F16" s="63"/>
      <c r="G16" s="75"/>
      <c r="H16" s="63"/>
      <c r="I16" s="89"/>
      <c r="J16" s="204"/>
      <c r="K16" s="89"/>
    </row>
    <row r="17" spans="1:11">
      <c r="A17" s="118">
        <v>2</v>
      </c>
      <c r="B17" s="81" t="s">
        <v>349</v>
      </c>
      <c r="C17" s="205">
        <v>11.89</v>
      </c>
      <c r="D17" s="103" t="s">
        <v>90</v>
      </c>
      <c r="E17" s="75">
        <v>27</v>
      </c>
      <c r="F17" s="63">
        <v>95</v>
      </c>
      <c r="G17" s="75" t="s">
        <v>90</v>
      </c>
      <c r="H17" s="63" t="s">
        <v>90</v>
      </c>
      <c r="I17" s="89">
        <f>C17*E17*0.342</f>
        <v>109.79226000000001</v>
      </c>
      <c r="J17" s="204">
        <f>C17*F17*0.297</f>
        <v>335.47634999999997</v>
      </c>
      <c r="K17" s="89" t="s">
        <v>90</v>
      </c>
    </row>
    <row r="18" spans="1:11">
      <c r="A18" s="118"/>
      <c r="B18" s="81" t="s">
        <v>195</v>
      </c>
      <c r="C18" s="103"/>
      <c r="D18" s="103"/>
      <c r="E18" s="89"/>
      <c r="F18" s="63"/>
      <c r="G18" s="75"/>
      <c r="H18" s="63"/>
      <c r="I18" s="89"/>
      <c r="J18" s="204"/>
      <c r="K18" s="89"/>
    </row>
    <row r="19" spans="1:11">
      <c r="A19" s="61"/>
      <c r="B19" s="130" t="s">
        <v>196</v>
      </c>
      <c r="C19" s="61"/>
      <c r="D19" s="117"/>
      <c r="E19" s="132"/>
      <c r="F19" s="117"/>
      <c r="G19" s="132"/>
      <c r="H19" s="117"/>
      <c r="I19" s="132"/>
      <c r="J19" s="117"/>
      <c r="K19" s="132"/>
    </row>
    <row r="20" spans="1:11">
      <c r="A20" s="202"/>
      <c r="B20" s="67"/>
      <c r="C20" s="67"/>
      <c r="D20" s="176"/>
      <c r="E20" s="176"/>
      <c r="F20" s="176"/>
      <c r="G20" s="176"/>
      <c r="H20" s="176"/>
      <c r="I20" s="176"/>
      <c r="J20" s="176"/>
      <c r="K20" s="104"/>
    </row>
    <row r="21" spans="1:11" ht="14.25">
      <c r="A21" s="85" t="s">
        <v>374</v>
      </c>
      <c r="B21" s="137"/>
      <c r="C21" s="137"/>
      <c r="D21" s="165"/>
      <c r="E21" s="165"/>
      <c r="F21" s="165"/>
      <c r="G21" s="165"/>
      <c r="H21" s="165" t="s">
        <v>90</v>
      </c>
      <c r="I21" s="198">
        <f>SUM(I12:I20)</f>
        <v>331.29480000000001</v>
      </c>
      <c r="J21" s="198">
        <f>SUM(J12:J20)</f>
        <v>1179.0482299999999</v>
      </c>
      <c r="K21" s="206" t="s">
        <v>90</v>
      </c>
    </row>
    <row r="22" spans="1:11" ht="14.25">
      <c r="A22" s="207" t="s">
        <v>375</v>
      </c>
      <c r="B22" s="115"/>
      <c r="C22" s="115"/>
      <c r="D22" s="185"/>
      <c r="E22" s="185"/>
      <c r="F22" s="185"/>
      <c r="G22" s="185"/>
      <c r="H22" s="185" t="s">
        <v>90</v>
      </c>
      <c r="I22" s="200">
        <f>I21/12</f>
        <v>27.607900000000001</v>
      </c>
      <c r="J22" s="200">
        <f>J21/12</f>
        <v>98.254019166666652</v>
      </c>
      <c r="K22" s="208" t="s">
        <v>90</v>
      </c>
    </row>
  </sheetData>
  <mergeCells count="1">
    <mergeCell ref="A1:K1"/>
  </mergeCells>
  <phoneticPr fontId="30" type="noConversion"/>
  <pageMargins left="1.149999999999999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3"/>
  <sheetViews>
    <sheetView topLeftCell="A4" zoomScale="75" workbookViewId="0">
      <selection activeCell="K27" sqref="K27"/>
    </sheetView>
  </sheetViews>
  <sheetFormatPr defaultRowHeight="12.75"/>
  <cols>
    <col min="1" max="1" width="28.42578125" customWidth="1"/>
    <col min="2" max="2" width="13.28515625" style="5" customWidth="1"/>
    <col min="3" max="3" width="13.85546875" style="5" customWidth="1"/>
    <col min="4" max="4" width="13" style="5" customWidth="1"/>
    <col min="5" max="5" width="12.85546875" customWidth="1"/>
    <col min="6" max="6" width="21" customWidth="1"/>
    <col min="7" max="7" width="9.42578125" customWidth="1"/>
    <col min="8" max="8" width="8.85546875" customWidth="1"/>
    <col min="9" max="9" width="1.7109375" customWidth="1"/>
  </cols>
  <sheetData>
    <row r="2" spans="1:8">
      <c r="F2" s="394"/>
      <c r="G2" s="394"/>
      <c r="H2" s="394"/>
    </row>
    <row r="4" spans="1:8" ht="15.75">
      <c r="A4" s="397" t="s">
        <v>640</v>
      </c>
      <c r="B4" s="397"/>
      <c r="C4" s="397"/>
      <c r="D4" s="397"/>
      <c r="E4" s="397"/>
      <c r="F4" s="397"/>
      <c r="G4" s="397"/>
      <c r="H4" s="397"/>
    </row>
    <row r="5" spans="1:8" ht="15.75">
      <c r="A5" s="397" t="s">
        <v>667</v>
      </c>
      <c r="B5" s="397"/>
      <c r="C5" s="397"/>
      <c r="D5" s="397"/>
      <c r="E5" s="397"/>
      <c r="F5" s="397"/>
      <c r="G5" s="397"/>
      <c r="H5" s="397"/>
    </row>
    <row r="6" spans="1:8">
      <c r="A6" s="101"/>
      <c r="B6" s="117"/>
      <c r="C6" s="117"/>
      <c r="D6" s="117"/>
      <c r="E6" s="101"/>
      <c r="F6" s="101"/>
      <c r="G6" s="101"/>
      <c r="H6" s="101"/>
    </row>
    <row r="7" spans="1:8">
      <c r="A7" s="79"/>
      <c r="B7" s="398" t="s">
        <v>5</v>
      </c>
      <c r="C7" s="399"/>
      <c r="D7" s="400"/>
      <c r="E7" s="398" t="s">
        <v>637</v>
      </c>
      <c r="F7" s="399"/>
      <c r="G7" s="399"/>
      <c r="H7" s="400"/>
    </row>
    <row r="8" spans="1:8">
      <c r="A8" s="75" t="s">
        <v>0</v>
      </c>
      <c r="B8" s="63" t="s">
        <v>1</v>
      </c>
      <c r="C8" s="398" t="s">
        <v>421</v>
      </c>
      <c r="D8" s="399"/>
      <c r="E8" s="74" t="s">
        <v>1</v>
      </c>
      <c r="F8" s="69" t="s">
        <v>1</v>
      </c>
      <c r="G8" s="395" t="s">
        <v>421</v>
      </c>
      <c r="H8" s="396"/>
    </row>
    <row r="9" spans="1:8">
      <c r="A9" s="79"/>
      <c r="B9" s="74" t="s">
        <v>2</v>
      </c>
      <c r="C9" s="70" t="s">
        <v>6</v>
      </c>
      <c r="D9" s="69" t="s">
        <v>7</v>
      </c>
      <c r="E9" s="74" t="s">
        <v>2</v>
      </c>
      <c r="F9" s="74" t="s">
        <v>2</v>
      </c>
      <c r="G9" s="130"/>
      <c r="H9" s="209"/>
    </row>
    <row r="10" spans="1:8">
      <c r="A10" s="79"/>
      <c r="B10" s="74"/>
      <c r="C10" s="74"/>
      <c r="D10" s="74"/>
      <c r="E10" s="74" t="s">
        <v>365</v>
      </c>
      <c r="F10" s="74" t="s">
        <v>366</v>
      </c>
      <c r="G10" s="74" t="s">
        <v>6</v>
      </c>
      <c r="H10" s="75" t="s">
        <v>7</v>
      </c>
    </row>
    <row r="11" spans="1:8">
      <c r="A11" s="79"/>
      <c r="B11" s="74"/>
      <c r="C11" s="74"/>
      <c r="D11" s="74"/>
      <c r="E11" s="74" t="s">
        <v>367</v>
      </c>
      <c r="F11" s="75" t="s">
        <v>368</v>
      </c>
      <c r="G11" s="79"/>
      <c r="H11" s="81"/>
    </row>
    <row r="12" spans="1:8">
      <c r="A12" s="130"/>
      <c r="B12" s="141"/>
      <c r="C12" s="141"/>
      <c r="D12" s="141"/>
      <c r="E12" s="141" t="s">
        <v>369</v>
      </c>
      <c r="F12" s="141" t="s">
        <v>370</v>
      </c>
      <c r="G12" s="130"/>
      <c r="H12" s="61"/>
    </row>
    <row r="13" spans="1:8">
      <c r="A13" s="118"/>
      <c r="B13" s="72"/>
      <c r="C13" s="75"/>
      <c r="D13" s="72"/>
      <c r="E13" s="74"/>
      <c r="F13" s="125"/>
      <c r="G13" s="75"/>
      <c r="H13" s="105"/>
    </row>
    <row r="14" spans="1:8" ht="15.75">
      <c r="A14" s="210" t="s">
        <v>91</v>
      </c>
      <c r="B14" s="314">
        <f>SUM(C14:D14)</f>
        <v>2766689</v>
      </c>
      <c r="C14" s="309">
        <v>1425877</v>
      </c>
      <c r="D14" s="309">
        <v>1340812</v>
      </c>
      <c r="E14" s="340">
        <f>B14/B28*100</f>
        <v>6.4959659555277076</v>
      </c>
      <c r="F14" s="214">
        <f>B14/B18*100</f>
        <v>36.336837664693199</v>
      </c>
      <c r="G14" s="213">
        <f>C14/B14*100</f>
        <v>51.537306867522879</v>
      </c>
      <c r="H14" s="215">
        <f>D14/B14*100</f>
        <v>48.462693132477128</v>
      </c>
    </row>
    <row r="15" spans="1:8" s="31" customFormat="1" ht="18.75" customHeight="1">
      <c r="A15" s="164" t="s">
        <v>371</v>
      </c>
      <c r="B15" s="310"/>
      <c r="C15" s="311"/>
      <c r="D15" s="312"/>
      <c r="E15" s="216">
        <f>E14/100</f>
        <v>6.4959659555277077E-2</v>
      </c>
      <c r="F15" s="217"/>
      <c r="G15" s="216">
        <f>G14/100</f>
        <v>0.51537306867522881</v>
      </c>
      <c r="H15" s="219">
        <f>H14/100</f>
        <v>0.4846269313247713</v>
      </c>
    </row>
    <row r="16" spans="1:8" ht="27" customHeight="1">
      <c r="A16" s="210" t="s">
        <v>93</v>
      </c>
      <c r="B16" s="314">
        <f>SUM(C16:D16)</f>
        <v>4847317</v>
      </c>
      <c r="C16" s="309">
        <v>2491772</v>
      </c>
      <c r="D16" s="308">
        <v>2355545</v>
      </c>
      <c r="E16" s="340">
        <f>B16/B28*100</f>
        <v>11.381115191353528</v>
      </c>
      <c r="F16" s="214">
        <f>B16/B18*100</f>
        <v>63.663162335306801</v>
      </c>
      <c r="G16" s="213">
        <f>C16/B16*100</f>
        <v>51.405179401305922</v>
      </c>
      <c r="H16" s="215">
        <f>D16/B16*100</f>
        <v>48.594820598694085</v>
      </c>
    </row>
    <row r="17" spans="1:8" s="49" customFormat="1" ht="15">
      <c r="A17" s="164" t="s">
        <v>371</v>
      </c>
      <c r="B17" s="310"/>
      <c r="C17" s="313"/>
      <c r="D17" s="310"/>
      <c r="E17" s="216">
        <f>E16/100</f>
        <v>0.11381115191353527</v>
      </c>
      <c r="F17" s="218"/>
      <c r="G17" s="216">
        <f>G16/100</f>
        <v>0.51405179401305923</v>
      </c>
      <c r="H17" s="219">
        <f>H16/100</f>
        <v>0.48594820598694083</v>
      </c>
    </row>
    <row r="18" spans="1:8" ht="24" customHeight="1">
      <c r="A18" s="210" t="s">
        <v>422</v>
      </c>
      <c r="B18" s="309">
        <f>B14+B16</f>
        <v>7614006</v>
      </c>
      <c r="C18" s="309">
        <f>C14+C16</f>
        <v>3917649</v>
      </c>
      <c r="D18" s="308">
        <f>D14+D16</f>
        <v>3696357</v>
      </c>
      <c r="E18" s="340">
        <f>B18/B28*100</f>
        <v>17.877081146881238</v>
      </c>
      <c r="F18" s="306">
        <f>F14+F16</f>
        <v>100</v>
      </c>
      <c r="G18" s="210"/>
      <c r="H18" s="221"/>
    </row>
    <row r="19" spans="1:8" ht="15.75">
      <c r="A19" s="210"/>
      <c r="B19" s="308"/>
      <c r="C19" s="309"/>
      <c r="D19" s="308"/>
      <c r="E19" s="212"/>
      <c r="F19" s="220"/>
      <c r="G19" s="210"/>
      <c r="H19" s="221"/>
    </row>
    <row r="20" spans="1:8" ht="15.75">
      <c r="A20" s="210" t="s">
        <v>3</v>
      </c>
      <c r="B20" s="308"/>
      <c r="C20" s="309"/>
      <c r="D20" s="308"/>
      <c r="E20" s="212"/>
      <c r="F20" s="220"/>
      <c r="G20" s="210"/>
      <c r="H20" s="221"/>
    </row>
    <row r="21" spans="1:8" ht="15.75">
      <c r="A21" s="210" t="s">
        <v>4</v>
      </c>
      <c r="B21" s="314">
        <f>SUM(C21:D21)</f>
        <v>24883695</v>
      </c>
      <c r="C21" s="309">
        <v>12446505</v>
      </c>
      <c r="D21" s="308">
        <v>12437190</v>
      </c>
      <c r="E21" s="340">
        <f>B21/B28*100</f>
        <v>58.424938823169157</v>
      </c>
      <c r="F21" s="211">
        <v>100</v>
      </c>
      <c r="G21" s="213">
        <f>C21/B21*100</f>
        <v>50.018717075579012</v>
      </c>
      <c r="H21" s="215">
        <f>D21/B21*100</f>
        <v>49.981282924420988</v>
      </c>
    </row>
    <row r="22" spans="1:8" s="49" customFormat="1" ht="24" customHeight="1">
      <c r="A22" s="164" t="s">
        <v>372</v>
      </c>
      <c r="B22" s="310"/>
      <c r="C22" s="313"/>
      <c r="D22" s="310"/>
      <c r="E22" s="216">
        <f>E21/100</f>
        <v>0.58424938823169159</v>
      </c>
      <c r="F22" s="223"/>
      <c r="G22" s="216">
        <f>G21/100</f>
        <v>0.50018717075579011</v>
      </c>
      <c r="H22" s="219">
        <f>H21/100</f>
        <v>0.49981282924420989</v>
      </c>
    </row>
    <row r="23" spans="1:8" ht="15.75">
      <c r="A23" s="224"/>
      <c r="B23" s="315"/>
      <c r="C23" s="309"/>
      <c r="D23" s="308"/>
      <c r="E23" s="212"/>
      <c r="F23" s="211"/>
      <c r="G23" s="213"/>
      <c r="H23" s="215"/>
    </row>
    <row r="24" spans="1:8" ht="15.75">
      <c r="A24" s="210" t="s">
        <v>625</v>
      </c>
      <c r="B24" s="314">
        <f>SUM(C24:D24)</f>
        <v>10093178</v>
      </c>
      <c r="C24" s="309">
        <v>3353727</v>
      </c>
      <c r="D24" s="308">
        <v>6739451</v>
      </c>
      <c r="E24" s="340">
        <f>B24/B28*100</f>
        <v>23.697980029949605</v>
      </c>
      <c r="F24" s="211">
        <v>100</v>
      </c>
      <c r="G24" s="213">
        <f>C24/B24*100</f>
        <v>33.227661297561575</v>
      </c>
      <c r="H24" s="215">
        <f>D24/B24*100</f>
        <v>66.772338702438418</v>
      </c>
    </row>
    <row r="25" spans="1:8" ht="15.75">
      <c r="A25" s="210" t="s">
        <v>419</v>
      </c>
      <c r="B25" s="308"/>
      <c r="C25" s="309"/>
      <c r="D25" s="308"/>
      <c r="E25" s="212"/>
      <c r="F25" s="211"/>
      <c r="G25" s="213"/>
      <c r="H25" s="215"/>
    </row>
    <row r="26" spans="1:8" s="49" customFormat="1" ht="15">
      <c r="A26" s="164" t="s">
        <v>372</v>
      </c>
      <c r="B26" s="310"/>
      <c r="C26" s="313"/>
      <c r="D26" s="310"/>
      <c r="E26" s="216">
        <f>E24/100</f>
        <v>0.23697980029949606</v>
      </c>
      <c r="F26" s="223"/>
      <c r="G26" s="216">
        <f>G24/100</f>
        <v>0.33227661297561573</v>
      </c>
      <c r="H26" s="219">
        <f>H24/100</f>
        <v>0.66772338702438416</v>
      </c>
    </row>
    <row r="27" spans="1:8" s="49" customFormat="1" ht="15">
      <c r="A27" s="164"/>
      <c r="B27" s="310"/>
      <c r="C27" s="313"/>
      <c r="D27" s="310"/>
      <c r="E27" s="222"/>
      <c r="F27" s="223"/>
      <c r="G27" s="216"/>
      <c r="H27" s="219"/>
    </row>
    <row r="28" spans="1:8" ht="15.75">
      <c r="A28" s="210" t="s">
        <v>423</v>
      </c>
      <c r="B28" s="308">
        <f>B18+B21+B24</f>
        <v>42590879</v>
      </c>
      <c r="C28" s="309">
        <f>C18+C21+C24</f>
        <v>19717881</v>
      </c>
      <c r="D28" s="308">
        <f>D18+D21+D24</f>
        <v>22872998</v>
      </c>
      <c r="E28" s="307">
        <f>E14+E16+E21+E24</f>
        <v>100</v>
      </c>
      <c r="F28" s="211"/>
      <c r="G28" s="213">
        <f>C28/B28*100</f>
        <v>46.29601798075123</v>
      </c>
      <c r="H28" s="215">
        <f>D28/B28*100</f>
        <v>53.703982019248762</v>
      </c>
    </row>
    <row r="29" spans="1:8" ht="15.75">
      <c r="A29" s="225"/>
      <c r="B29" s="226"/>
      <c r="C29" s="227"/>
      <c r="D29" s="226"/>
      <c r="E29" s="225"/>
      <c r="F29" s="228"/>
      <c r="G29" s="225"/>
      <c r="H29" s="225"/>
    </row>
    <row r="30" spans="1:8">
      <c r="A30" s="62"/>
      <c r="B30" s="63"/>
      <c r="C30" s="63"/>
      <c r="D30" s="63"/>
      <c r="E30" s="62"/>
      <c r="F30" s="62"/>
      <c r="G30" s="62"/>
      <c r="H30" s="62"/>
    </row>
    <row r="31" spans="1:8">
      <c r="A31" s="62"/>
      <c r="B31" s="63"/>
      <c r="C31" s="63"/>
      <c r="D31" s="63"/>
      <c r="E31" s="62"/>
      <c r="F31" s="62"/>
      <c r="G31" s="62"/>
      <c r="H31" s="62"/>
    </row>
    <row r="32" spans="1:8">
      <c r="B32"/>
      <c r="C32"/>
      <c r="D32"/>
    </row>
    <row r="33" spans="2:4" ht="25.5" customHeight="1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  <row r="43" spans="2:4">
      <c r="B43"/>
      <c r="C43"/>
      <c r="D43"/>
    </row>
    <row r="44" spans="2:4">
      <c r="B44"/>
      <c r="C44"/>
      <c r="D44"/>
    </row>
    <row r="45" spans="2:4">
      <c r="B45"/>
      <c r="C45"/>
      <c r="D45"/>
    </row>
    <row r="46" spans="2:4">
      <c r="B46"/>
      <c r="C46"/>
      <c r="D46"/>
    </row>
    <row r="47" spans="2:4">
      <c r="B47"/>
      <c r="C47"/>
      <c r="D47"/>
    </row>
    <row r="48" spans="2:4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 ht="18.75" customHeight="1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</sheetData>
  <mergeCells count="7">
    <mergeCell ref="F2:H2"/>
    <mergeCell ref="G8:H8"/>
    <mergeCell ref="A4:H4"/>
    <mergeCell ref="A5:H5"/>
    <mergeCell ref="B7:D7"/>
    <mergeCell ref="E7:H7"/>
    <mergeCell ref="C8:D8"/>
  </mergeCells>
  <phoneticPr fontId="30" type="noConversion"/>
  <pageMargins left="1.45" right="0.31" top="0.5" bottom="0.18" header="0.17" footer="0.17"/>
  <pageSetup paperSize="9" orientation="landscape" horizontalDpi="360" verticalDpi="360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9"/>
  <sheetViews>
    <sheetView topLeftCell="A28" zoomScale="75" zoomScaleNormal="75" workbookViewId="0">
      <selection activeCell="E48" sqref="E48"/>
    </sheetView>
  </sheetViews>
  <sheetFormatPr defaultRowHeight="12.75"/>
  <cols>
    <col min="1" max="1" width="5.42578125" style="51" customWidth="1"/>
    <col min="2" max="2" width="32" customWidth="1"/>
    <col min="3" max="3" width="8.85546875" customWidth="1"/>
    <col min="4" max="4" width="16.7109375" customWidth="1"/>
    <col min="5" max="5" width="10.7109375" customWidth="1"/>
    <col min="6" max="6" width="13.28515625" bestFit="1" customWidth="1"/>
    <col min="7" max="7" width="8.42578125" customWidth="1"/>
    <col min="8" max="8" width="7.5703125" customWidth="1"/>
    <col min="10" max="10" width="1.5703125" customWidth="1"/>
    <col min="11" max="14" width="9.140625" hidden="1" customWidth="1"/>
    <col min="15" max="15" width="1.140625" customWidth="1"/>
    <col min="16" max="17" width="9.140625" hidden="1" customWidth="1"/>
    <col min="19" max="19" width="6.7109375" customWidth="1"/>
    <col min="20" max="22" width="9.140625" hidden="1" customWidth="1"/>
    <col min="24" max="24" width="1.28515625" customWidth="1"/>
    <col min="25" max="25" width="9.140625" hidden="1" customWidth="1"/>
  </cols>
  <sheetData>
    <row r="1" spans="1:7" ht="15.75">
      <c r="A1" s="401" t="s">
        <v>410</v>
      </c>
      <c r="B1" s="401"/>
      <c r="C1" s="401"/>
      <c r="D1" s="401"/>
      <c r="E1" s="401"/>
      <c r="F1" s="401"/>
    </row>
    <row r="2" spans="1:7" ht="13.5" customHeight="1">
      <c r="A2" s="401" t="s">
        <v>654</v>
      </c>
      <c r="B2" s="401"/>
      <c r="C2" s="401"/>
      <c r="D2" s="401"/>
      <c r="E2" s="401"/>
      <c r="F2" s="401"/>
    </row>
    <row r="3" spans="1:7" ht="8.25" customHeight="1">
      <c r="A3" s="64"/>
      <c r="B3" s="62"/>
      <c r="C3" s="65"/>
      <c r="D3" s="65"/>
      <c r="E3" s="65"/>
      <c r="F3" s="65"/>
    </row>
    <row r="4" spans="1:7">
      <c r="A4" s="66" t="s">
        <v>42</v>
      </c>
      <c r="B4" s="67"/>
      <c r="C4" s="68" t="s">
        <v>92</v>
      </c>
      <c r="D4" s="69" t="s">
        <v>313</v>
      </c>
      <c r="E4" s="68" t="s">
        <v>94</v>
      </c>
      <c r="F4" s="104" t="s">
        <v>107</v>
      </c>
    </row>
    <row r="5" spans="1:7">
      <c r="A5" s="71" t="s">
        <v>373</v>
      </c>
      <c r="B5" s="72" t="s">
        <v>308</v>
      </c>
      <c r="C5" s="73" t="s">
        <v>81</v>
      </c>
      <c r="D5" s="74" t="s">
        <v>240</v>
      </c>
      <c r="E5" s="73" t="s">
        <v>95</v>
      </c>
      <c r="F5" s="105" t="s">
        <v>105</v>
      </c>
    </row>
    <row r="6" spans="1:7">
      <c r="A6" s="76"/>
      <c r="B6" s="59"/>
      <c r="C6" s="73"/>
      <c r="D6" s="74" t="s">
        <v>626</v>
      </c>
      <c r="E6" s="73" t="s">
        <v>666</v>
      </c>
      <c r="F6" s="105"/>
    </row>
    <row r="7" spans="1:7" ht="12.75" customHeight="1">
      <c r="A7" s="76"/>
      <c r="B7" s="59"/>
      <c r="C7" s="73"/>
      <c r="D7" s="74" t="s">
        <v>178</v>
      </c>
      <c r="E7" s="77" t="s">
        <v>665</v>
      </c>
      <c r="F7" s="103"/>
    </row>
    <row r="8" spans="1:7" ht="12.75" customHeight="1">
      <c r="A8" s="78"/>
      <c r="B8" s="79"/>
      <c r="C8" s="73"/>
      <c r="D8" s="80"/>
      <c r="E8" s="77" t="s">
        <v>655</v>
      </c>
      <c r="F8" s="77" t="s">
        <v>655</v>
      </c>
    </row>
    <row r="9" spans="1:7" ht="8.25" customHeight="1">
      <c r="A9" s="78"/>
      <c r="B9" s="79"/>
      <c r="C9" s="73"/>
      <c r="D9" s="80"/>
      <c r="E9" s="3"/>
      <c r="F9" s="48"/>
    </row>
    <row r="10" spans="1:7" ht="13.5" customHeight="1">
      <c r="A10" s="66"/>
      <c r="B10" s="69"/>
      <c r="C10" s="82"/>
      <c r="D10" s="83"/>
      <c r="E10" s="69"/>
      <c r="F10" s="70"/>
    </row>
    <row r="11" spans="1:7" s="31" customFormat="1" ht="15">
      <c r="A11" s="84">
        <v>1</v>
      </c>
      <c r="B11" s="85" t="s">
        <v>315</v>
      </c>
      <c r="C11" s="86"/>
      <c r="D11" s="86"/>
      <c r="E11" s="87"/>
      <c r="F11" s="86"/>
      <c r="G11"/>
    </row>
    <row r="12" spans="1:7" s="112" customFormat="1">
      <c r="A12" s="76" t="s">
        <v>424</v>
      </c>
      <c r="B12" s="79" t="s">
        <v>48</v>
      </c>
      <c r="C12" s="75" t="s">
        <v>87</v>
      </c>
      <c r="D12" s="75">
        <v>29.2</v>
      </c>
      <c r="E12" s="88">
        <v>12.52</v>
      </c>
      <c r="F12" s="89">
        <f t="shared" ref="F12:F24" si="0">E12*D12</f>
        <v>365.584</v>
      </c>
    </row>
    <row r="13" spans="1:7" s="112" customFormat="1">
      <c r="A13" s="76" t="s">
        <v>425</v>
      </c>
      <c r="B13" s="79" t="s">
        <v>49</v>
      </c>
      <c r="C13" s="75" t="s">
        <v>87</v>
      </c>
      <c r="D13" s="75">
        <v>14.6</v>
      </c>
      <c r="E13" s="88">
        <v>11.74</v>
      </c>
      <c r="F13" s="89">
        <f t="shared" si="0"/>
        <v>171.404</v>
      </c>
    </row>
    <row r="14" spans="1:7" s="112" customFormat="1">
      <c r="A14" s="76" t="s">
        <v>426</v>
      </c>
      <c r="B14" s="79" t="s">
        <v>120</v>
      </c>
      <c r="C14" s="75" t="s">
        <v>87</v>
      </c>
      <c r="D14" s="75">
        <v>4.5999999999999996</v>
      </c>
      <c r="E14" s="88">
        <v>9.1199999999999992</v>
      </c>
      <c r="F14" s="89">
        <f t="shared" si="0"/>
        <v>41.951999999999991</v>
      </c>
    </row>
    <row r="15" spans="1:7" s="112" customFormat="1">
      <c r="A15" s="76" t="s">
        <v>427</v>
      </c>
      <c r="B15" s="79" t="s">
        <v>50</v>
      </c>
      <c r="C15" s="75" t="s">
        <v>87</v>
      </c>
      <c r="D15" s="75">
        <v>2.9</v>
      </c>
      <c r="E15" s="88">
        <v>15.53</v>
      </c>
      <c r="F15" s="89">
        <f t="shared" si="0"/>
        <v>45.036999999999999</v>
      </c>
    </row>
    <row r="16" spans="1:7" s="112" customFormat="1">
      <c r="A16" s="76" t="s">
        <v>428</v>
      </c>
      <c r="B16" s="79" t="s">
        <v>47</v>
      </c>
      <c r="C16" s="75" t="s">
        <v>87</v>
      </c>
      <c r="D16" s="75">
        <v>1.3</v>
      </c>
      <c r="E16" s="88">
        <v>21.56</v>
      </c>
      <c r="F16" s="89">
        <f t="shared" si="0"/>
        <v>28.027999999999999</v>
      </c>
    </row>
    <row r="17" spans="1:7" s="112" customFormat="1">
      <c r="A17" s="76" t="s">
        <v>429</v>
      </c>
      <c r="B17" s="79" t="s">
        <v>121</v>
      </c>
      <c r="C17" s="75" t="s">
        <v>87</v>
      </c>
      <c r="D17" s="75">
        <v>0.9</v>
      </c>
      <c r="E17" s="88">
        <v>10.62</v>
      </c>
      <c r="F17" s="89">
        <f>E17*D17</f>
        <v>9.5579999999999998</v>
      </c>
    </row>
    <row r="18" spans="1:7" s="112" customFormat="1">
      <c r="A18" s="76" t="s">
        <v>430</v>
      </c>
      <c r="B18" s="79" t="s">
        <v>122</v>
      </c>
      <c r="C18" s="75" t="s">
        <v>87</v>
      </c>
      <c r="D18" s="75">
        <v>1.7</v>
      </c>
      <c r="E18" s="88">
        <v>10.9</v>
      </c>
      <c r="F18" s="89">
        <f t="shared" si="0"/>
        <v>18.53</v>
      </c>
    </row>
    <row r="19" spans="1:7" s="112" customFormat="1">
      <c r="A19" s="76" t="s">
        <v>431</v>
      </c>
      <c r="B19" s="79" t="s">
        <v>123</v>
      </c>
      <c r="C19" s="75" t="s">
        <v>87</v>
      </c>
      <c r="D19" s="75">
        <v>2.4</v>
      </c>
      <c r="E19" s="88">
        <v>42.35</v>
      </c>
      <c r="F19" s="89">
        <f t="shared" si="0"/>
        <v>101.64</v>
      </c>
    </row>
    <row r="20" spans="1:7" s="112" customFormat="1">
      <c r="A20" s="76" t="s">
        <v>432</v>
      </c>
      <c r="B20" s="79" t="s">
        <v>124</v>
      </c>
      <c r="C20" s="75" t="s">
        <v>87</v>
      </c>
      <c r="D20" s="75">
        <v>0.7</v>
      </c>
      <c r="E20" s="88">
        <v>22.83</v>
      </c>
      <c r="F20" s="89">
        <f t="shared" si="0"/>
        <v>15.980999999999998</v>
      </c>
    </row>
    <row r="21" spans="1:7" s="112" customFormat="1">
      <c r="A21" s="76" t="s">
        <v>433</v>
      </c>
      <c r="B21" s="79" t="s">
        <v>46</v>
      </c>
      <c r="C21" s="75" t="s">
        <v>87</v>
      </c>
      <c r="D21" s="75">
        <v>0.6</v>
      </c>
      <c r="E21" s="88">
        <v>14.97</v>
      </c>
      <c r="F21" s="89">
        <f t="shared" si="0"/>
        <v>8.9819999999999993</v>
      </c>
    </row>
    <row r="22" spans="1:7" s="112" customFormat="1">
      <c r="A22" s="76" t="s">
        <v>434</v>
      </c>
      <c r="B22" s="79" t="s">
        <v>266</v>
      </c>
      <c r="C22" s="75" t="s">
        <v>87</v>
      </c>
      <c r="D22" s="75">
        <v>4.0999999999999996</v>
      </c>
      <c r="E22" s="88">
        <v>8.7100000000000009</v>
      </c>
      <c r="F22" s="89">
        <f t="shared" si="0"/>
        <v>35.710999999999999</v>
      </c>
      <c r="G22" s="299"/>
    </row>
    <row r="23" spans="1:7" s="31" customFormat="1" ht="14.25">
      <c r="A23" s="84" t="s">
        <v>435</v>
      </c>
      <c r="B23" s="85" t="s">
        <v>267</v>
      </c>
      <c r="C23" s="73" t="s">
        <v>87</v>
      </c>
      <c r="D23" s="75">
        <v>0.7</v>
      </c>
      <c r="E23" s="88">
        <v>30.18</v>
      </c>
      <c r="F23" s="89">
        <f t="shared" si="0"/>
        <v>21.125999999999998</v>
      </c>
      <c r="G23"/>
    </row>
    <row r="24" spans="1:7" s="31" customFormat="1" ht="14.25">
      <c r="A24" s="84" t="s">
        <v>436</v>
      </c>
      <c r="B24" s="85" t="s">
        <v>43</v>
      </c>
      <c r="C24" s="73" t="s">
        <v>87</v>
      </c>
      <c r="D24" s="75">
        <v>73</v>
      </c>
      <c r="E24" s="88">
        <v>5.71</v>
      </c>
      <c r="F24" s="89">
        <f t="shared" si="0"/>
        <v>416.83</v>
      </c>
      <c r="G24"/>
    </row>
    <row r="25" spans="1:7" ht="15">
      <c r="A25" s="84" t="s">
        <v>437</v>
      </c>
      <c r="B25" s="85" t="s">
        <v>44</v>
      </c>
      <c r="C25" s="86"/>
      <c r="D25" s="75"/>
      <c r="E25" s="88"/>
      <c r="F25" s="75"/>
    </row>
    <row r="26" spans="1:7" s="112" customFormat="1">
      <c r="A26" s="76" t="s">
        <v>438</v>
      </c>
      <c r="B26" s="79" t="s">
        <v>52</v>
      </c>
      <c r="C26" s="75" t="s">
        <v>87</v>
      </c>
      <c r="D26" s="75">
        <v>16.399999999999999</v>
      </c>
      <c r="E26" s="88">
        <v>2.89</v>
      </c>
      <c r="F26" s="89">
        <f t="shared" ref="F26:F32" si="1">E26*D26</f>
        <v>47.396000000000001</v>
      </c>
    </row>
    <row r="27" spans="1:7" s="112" customFormat="1">
      <c r="A27" s="76" t="s">
        <v>439</v>
      </c>
      <c r="B27" s="79" t="s">
        <v>268</v>
      </c>
      <c r="C27" s="75" t="s">
        <v>87</v>
      </c>
      <c r="D27" s="75">
        <v>16.399999999999999</v>
      </c>
      <c r="E27" s="88">
        <v>19.190000000000001</v>
      </c>
      <c r="F27" s="89">
        <f t="shared" si="1"/>
        <v>314.71600000000001</v>
      </c>
    </row>
    <row r="28" spans="1:7" s="112" customFormat="1">
      <c r="A28" s="76" t="s">
        <v>440</v>
      </c>
      <c r="B28" s="79" t="s">
        <v>270</v>
      </c>
      <c r="C28" s="75" t="s">
        <v>87</v>
      </c>
      <c r="D28" s="75">
        <v>8.1999999999999993</v>
      </c>
      <c r="E28" s="88">
        <v>7.08</v>
      </c>
      <c r="F28" s="89">
        <f t="shared" si="1"/>
        <v>58.055999999999997</v>
      </c>
    </row>
    <row r="29" spans="1:7" s="112" customFormat="1">
      <c r="A29" s="76" t="s">
        <v>441</v>
      </c>
      <c r="B29" s="79" t="s">
        <v>269</v>
      </c>
      <c r="C29" s="75" t="s">
        <v>87</v>
      </c>
      <c r="D29" s="75">
        <v>6.6</v>
      </c>
      <c r="E29" s="88">
        <v>10.57</v>
      </c>
      <c r="F29" s="89">
        <f t="shared" si="1"/>
        <v>69.762</v>
      </c>
    </row>
    <row r="30" spans="1:7" s="112" customFormat="1">
      <c r="A30" s="76" t="s">
        <v>442</v>
      </c>
      <c r="B30" s="79" t="s">
        <v>411</v>
      </c>
      <c r="C30" s="75" t="s">
        <v>87</v>
      </c>
      <c r="D30" s="75">
        <v>6.6</v>
      </c>
      <c r="E30" s="88">
        <v>5.53</v>
      </c>
      <c r="F30" s="89">
        <f t="shared" si="1"/>
        <v>36.497999999999998</v>
      </c>
    </row>
    <row r="31" spans="1:7" s="112" customFormat="1">
      <c r="A31" s="76" t="s">
        <v>443</v>
      </c>
      <c r="B31" s="79" t="s">
        <v>271</v>
      </c>
      <c r="C31" s="75" t="s">
        <v>87</v>
      </c>
      <c r="D31" s="75">
        <v>6.6</v>
      </c>
      <c r="E31" s="88">
        <v>5.93</v>
      </c>
      <c r="F31" s="89">
        <f t="shared" si="1"/>
        <v>39.137999999999998</v>
      </c>
    </row>
    <row r="32" spans="1:7" s="112" customFormat="1">
      <c r="A32" s="76" t="s">
        <v>444</v>
      </c>
      <c r="B32" s="79" t="s">
        <v>272</v>
      </c>
      <c r="C32" s="121" t="s">
        <v>87</v>
      </c>
      <c r="D32" s="75">
        <v>21.3</v>
      </c>
      <c r="E32" s="331">
        <f>2.89*0.224+19.19*0.224+(7.08+5.53)/2*0.165+10.57*0.174+5.93*0.155+11.31*0.058</f>
        <v>9.4005549999999989</v>
      </c>
      <c r="F32" s="89">
        <f t="shared" si="1"/>
        <v>200.2318215</v>
      </c>
    </row>
    <row r="33" spans="1:6" ht="15">
      <c r="A33" s="84" t="s">
        <v>445</v>
      </c>
      <c r="B33" s="85" t="s">
        <v>538</v>
      </c>
      <c r="C33" s="86"/>
      <c r="D33" s="75"/>
      <c r="E33" s="331"/>
      <c r="F33" s="89"/>
    </row>
    <row r="34" spans="1:6" s="112" customFormat="1">
      <c r="A34" s="90" t="s">
        <v>446</v>
      </c>
      <c r="B34" s="91" t="s">
        <v>273</v>
      </c>
      <c r="C34" s="75" t="s">
        <v>87</v>
      </c>
      <c r="D34" s="75">
        <v>27.4</v>
      </c>
      <c r="E34" s="331">
        <v>14.06</v>
      </c>
      <c r="F34" s="89">
        <f t="shared" ref="F34:F47" si="2">E34*D34</f>
        <v>385.24399999999997</v>
      </c>
    </row>
    <row r="35" spans="1:6" s="112" customFormat="1">
      <c r="A35" s="325" t="s">
        <v>447</v>
      </c>
      <c r="B35" s="91" t="s">
        <v>274</v>
      </c>
      <c r="C35" s="121" t="s">
        <v>87</v>
      </c>
      <c r="D35" s="75">
        <v>8.1999999999999993</v>
      </c>
      <c r="E35" s="331">
        <f>14.06*0.692+81.26*0.308</f>
        <v>34.757600000000004</v>
      </c>
      <c r="F35" s="89">
        <f t="shared" si="2"/>
        <v>285.01231999999999</v>
      </c>
    </row>
    <row r="36" spans="1:6" s="112" customFormat="1">
      <c r="A36" s="90" t="s">
        <v>448</v>
      </c>
      <c r="B36" s="79" t="s">
        <v>412</v>
      </c>
      <c r="C36" s="75" t="s">
        <v>87</v>
      </c>
      <c r="D36" s="75">
        <v>5.5</v>
      </c>
      <c r="E36" s="88">
        <v>43.61</v>
      </c>
      <c r="F36" s="89">
        <f t="shared" si="2"/>
        <v>239.85499999999999</v>
      </c>
    </row>
    <row r="37" spans="1:6" s="112" customFormat="1">
      <c r="A37" s="90" t="s">
        <v>449</v>
      </c>
      <c r="B37" s="79" t="s">
        <v>275</v>
      </c>
      <c r="C37" s="75" t="s">
        <v>87</v>
      </c>
      <c r="D37" s="75">
        <v>5.5</v>
      </c>
      <c r="E37" s="88">
        <v>33.340000000000003</v>
      </c>
      <c r="F37" s="89">
        <f t="shared" si="2"/>
        <v>183.37</v>
      </c>
    </row>
    <row r="38" spans="1:6" s="112" customFormat="1">
      <c r="A38" s="90" t="s">
        <v>450</v>
      </c>
      <c r="B38" s="79" t="s">
        <v>276</v>
      </c>
      <c r="C38" s="75" t="s">
        <v>87</v>
      </c>
      <c r="D38" s="75">
        <v>2.7</v>
      </c>
      <c r="E38" s="88">
        <v>34.03</v>
      </c>
      <c r="F38" s="89">
        <f t="shared" si="2"/>
        <v>91.881000000000014</v>
      </c>
    </row>
    <row r="39" spans="1:6" s="112" customFormat="1">
      <c r="A39" s="325" t="s">
        <v>451</v>
      </c>
      <c r="B39" s="322" t="s">
        <v>277</v>
      </c>
      <c r="C39" s="121" t="s">
        <v>87</v>
      </c>
      <c r="D39" s="75">
        <v>5.5</v>
      </c>
      <c r="E39" s="88">
        <v>14.06</v>
      </c>
      <c r="F39" s="89">
        <f t="shared" si="2"/>
        <v>77.33</v>
      </c>
    </row>
    <row r="40" spans="1:6" ht="14.25">
      <c r="A40" s="84" t="s">
        <v>452</v>
      </c>
      <c r="B40" s="85" t="s">
        <v>325</v>
      </c>
      <c r="C40" s="73" t="s">
        <v>278</v>
      </c>
      <c r="D40" s="75">
        <v>45.6</v>
      </c>
      <c r="E40" s="88">
        <v>18.54</v>
      </c>
      <c r="F40" s="89">
        <f t="shared" si="2"/>
        <v>845.42399999999998</v>
      </c>
    </row>
    <row r="41" spans="1:6" ht="14.25">
      <c r="A41" s="92" t="s">
        <v>453</v>
      </c>
      <c r="B41" s="85" t="s">
        <v>54</v>
      </c>
      <c r="C41" s="73" t="s">
        <v>87</v>
      </c>
      <c r="D41" s="75">
        <v>3.65</v>
      </c>
      <c r="E41" s="88">
        <v>111.11</v>
      </c>
      <c r="F41" s="89">
        <f t="shared" si="2"/>
        <v>405.55149999999998</v>
      </c>
    </row>
    <row r="42" spans="1:6" ht="14.25">
      <c r="A42" s="84" t="s">
        <v>458</v>
      </c>
      <c r="B42" s="85" t="s">
        <v>286</v>
      </c>
      <c r="C42" s="73" t="s">
        <v>87</v>
      </c>
      <c r="D42" s="75">
        <v>18.25</v>
      </c>
      <c r="E42" s="88">
        <v>17.2</v>
      </c>
      <c r="F42" s="89">
        <f t="shared" si="2"/>
        <v>313.89999999999998</v>
      </c>
    </row>
    <row r="43" spans="1:6" ht="14.25">
      <c r="A43" s="84" t="s">
        <v>465</v>
      </c>
      <c r="B43" s="85" t="s">
        <v>288</v>
      </c>
      <c r="C43" s="73" t="s">
        <v>87</v>
      </c>
      <c r="D43" s="75">
        <v>1.1000000000000001</v>
      </c>
      <c r="E43" s="88">
        <v>97.65</v>
      </c>
      <c r="F43" s="89">
        <f t="shared" si="2"/>
        <v>107.41500000000002</v>
      </c>
    </row>
    <row r="44" spans="1:6" ht="14.25">
      <c r="A44" s="84" t="s">
        <v>466</v>
      </c>
      <c r="B44" s="85" t="s">
        <v>287</v>
      </c>
      <c r="C44" s="239" t="s">
        <v>87</v>
      </c>
      <c r="D44" s="75">
        <v>5.5</v>
      </c>
      <c r="E44" s="88">
        <f>40.81*0.792+51.19*0.208</f>
        <v>42.969040000000007</v>
      </c>
      <c r="F44" s="89">
        <f t="shared" si="2"/>
        <v>236.32972000000004</v>
      </c>
    </row>
    <row r="45" spans="1:6" ht="14.25">
      <c r="A45" s="84" t="s">
        <v>469</v>
      </c>
      <c r="B45" s="85" t="s">
        <v>60</v>
      </c>
      <c r="C45" s="73" t="s">
        <v>87</v>
      </c>
      <c r="D45" s="75">
        <v>7.7</v>
      </c>
      <c r="E45" s="88">
        <v>117.2</v>
      </c>
      <c r="F45" s="89">
        <f t="shared" si="2"/>
        <v>902.44</v>
      </c>
    </row>
    <row r="46" spans="1:6" ht="14.25">
      <c r="A46" s="84" t="s">
        <v>470</v>
      </c>
      <c r="B46" s="85" t="s">
        <v>68</v>
      </c>
      <c r="C46" s="73" t="s">
        <v>87</v>
      </c>
      <c r="D46" s="93">
        <v>3</v>
      </c>
      <c r="E46" s="88">
        <v>32.380000000000003</v>
      </c>
      <c r="F46" s="89">
        <f t="shared" si="2"/>
        <v>97.140000000000015</v>
      </c>
    </row>
    <row r="47" spans="1:6" ht="14.25">
      <c r="A47" s="84" t="s">
        <v>471</v>
      </c>
      <c r="B47" s="85" t="s">
        <v>352</v>
      </c>
      <c r="C47" s="73" t="s">
        <v>88</v>
      </c>
      <c r="D47" s="75">
        <v>182.5</v>
      </c>
      <c r="E47" s="94">
        <f>14.3/10</f>
        <v>1.4300000000000002</v>
      </c>
      <c r="F47" s="89">
        <f t="shared" si="2"/>
        <v>260.97500000000002</v>
      </c>
    </row>
    <row r="48" spans="1:6" ht="17.25" customHeight="1">
      <c r="A48" s="84" t="s">
        <v>472</v>
      </c>
      <c r="B48" s="85" t="s">
        <v>539</v>
      </c>
      <c r="C48" s="86"/>
      <c r="D48" s="75"/>
      <c r="E48" s="88"/>
      <c r="F48" s="89"/>
    </row>
    <row r="49" spans="1:6" s="112" customFormat="1">
      <c r="A49" s="76" t="s">
        <v>542</v>
      </c>
      <c r="B49" s="79" t="s">
        <v>59</v>
      </c>
      <c r="C49" s="75" t="s">
        <v>87</v>
      </c>
      <c r="D49" s="75">
        <v>91.3</v>
      </c>
      <c r="E49" s="88">
        <v>13.32</v>
      </c>
      <c r="F49" s="89">
        <f>E49*D49</f>
        <v>1216.116</v>
      </c>
    </row>
    <row r="50" spans="1:6" s="112" customFormat="1">
      <c r="A50" s="76" t="s">
        <v>543</v>
      </c>
      <c r="B50" s="79" t="s">
        <v>284</v>
      </c>
      <c r="C50" s="75" t="s">
        <v>87</v>
      </c>
      <c r="D50" s="75">
        <v>91.3</v>
      </c>
      <c r="E50" s="88">
        <v>16.62</v>
      </c>
      <c r="F50" s="89">
        <f>E50*D50</f>
        <v>1517.4059999999999</v>
      </c>
    </row>
    <row r="51" spans="1:6" s="112" customFormat="1">
      <c r="A51" s="76" t="s">
        <v>544</v>
      </c>
      <c r="B51" s="79" t="s">
        <v>61</v>
      </c>
      <c r="C51" s="75" t="s">
        <v>87</v>
      </c>
      <c r="D51" s="75">
        <v>18.25</v>
      </c>
      <c r="E51" s="88">
        <v>66.02</v>
      </c>
      <c r="F51" s="89">
        <f>E51*D51</f>
        <v>1204.865</v>
      </c>
    </row>
    <row r="52" spans="1:6" s="112" customFormat="1">
      <c r="A52" s="76" t="s">
        <v>545</v>
      </c>
      <c r="B52" s="79" t="s">
        <v>62</v>
      </c>
      <c r="C52" s="75" t="s">
        <v>87</v>
      </c>
      <c r="D52" s="75">
        <v>2.7</v>
      </c>
      <c r="E52" s="88">
        <v>38.33</v>
      </c>
      <c r="F52" s="89">
        <f>E52*D52</f>
        <v>103.491</v>
      </c>
    </row>
    <row r="53" spans="1:6" s="112" customFormat="1">
      <c r="A53" s="76" t="s">
        <v>546</v>
      </c>
      <c r="B53" s="79" t="s">
        <v>63</v>
      </c>
      <c r="C53" s="75" t="s">
        <v>87</v>
      </c>
      <c r="D53" s="75">
        <v>1.8</v>
      </c>
      <c r="E53" s="88">
        <v>120.68</v>
      </c>
      <c r="F53" s="89">
        <f>E53*D53</f>
        <v>217.22400000000002</v>
      </c>
    </row>
    <row r="54" spans="1:6" ht="15">
      <c r="A54" s="84" t="s">
        <v>473</v>
      </c>
      <c r="B54" s="85" t="s">
        <v>540</v>
      </c>
      <c r="C54" s="86"/>
      <c r="D54" s="75"/>
      <c r="E54" s="88"/>
      <c r="F54" s="89"/>
    </row>
    <row r="55" spans="1:6" s="112" customFormat="1">
      <c r="A55" s="76" t="s">
        <v>547</v>
      </c>
      <c r="B55" s="79" t="s">
        <v>279</v>
      </c>
      <c r="C55" s="121" t="s">
        <v>87</v>
      </c>
      <c r="D55" s="75">
        <v>11.7</v>
      </c>
      <c r="E55" s="88">
        <f>82.76*0.964+76.12*0.036</f>
        <v>82.520960000000002</v>
      </c>
      <c r="F55" s="89">
        <f t="shared" ref="F55:F62" si="3">E55*D55</f>
        <v>965.49523199999999</v>
      </c>
    </row>
    <row r="56" spans="1:6" s="112" customFormat="1">
      <c r="A56" s="76" t="s">
        <v>548</v>
      </c>
      <c r="B56" s="79" t="s">
        <v>280</v>
      </c>
      <c r="C56" s="75" t="s">
        <v>87</v>
      </c>
      <c r="D56" s="75">
        <v>5.8</v>
      </c>
      <c r="E56" s="88">
        <v>74.56</v>
      </c>
      <c r="F56" s="89">
        <f t="shared" si="3"/>
        <v>432.44799999999998</v>
      </c>
    </row>
    <row r="57" spans="1:6" s="112" customFormat="1">
      <c r="A57" s="76" t="s">
        <v>549</v>
      </c>
      <c r="B57" s="79" t="s">
        <v>541</v>
      </c>
      <c r="C57" s="121" t="s">
        <v>87</v>
      </c>
      <c r="D57" s="75">
        <v>5.8</v>
      </c>
      <c r="E57" s="88">
        <f>40.06*0.912+93.63*0.088</f>
        <v>44.774159999999995</v>
      </c>
      <c r="F57" s="89">
        <f t="shared" si="3"/>
        <v>259.69012799999996</v>
      </c>
    </row>
    <row r="58" spans="1:6" s="112" customFormat="1">
      <c r="A58" s="76" t="s">
        <v>550</v>
      </c>
      <c r="B58" s="79" t="s">
        <v>283</v>
      </c>
      <c r="C58" s="75" t="s">
        <v>87</v>
      </c>
      <c r="D58" s="75">
        <v>5.9</v>
      </c>
      <c r="E58" s="88">
        <f>76.73*0.166+42.44*0.37+45.49*0.464</f>
        <v>49.547340000000005</v>
      </c>
      <c r="F58" s="89">
        <f t="shared" si="3"/>
        <v>292.32930600000003</v>
      </c>
    </row>
    <row r="59" spans="1:6" s="112" customFormat="1">
      <c r="A59" s="76" t="s">
        <v>551</v>
      </c>
      <c r="B59" s="79" t="s">
        <v>281</v>
      </c>
      <c r="C59" s="121" t="s">
        <v>87</v>
      </c>
      <c r="D59" s="75">
        <v>4</v>
      </c>
      <c r="E59" s="88">
        <f>77.95*0.482+74.34*0.518</f>
        <v>76.080020000000005</v>
      </c>
      <c r="F59" s="89">
        <f t="shared" si="3"/>
        <v>304.32008000000002</v>
      </c>
    </row>
    <row r="60" spans="1:6" s="112" customFormat="1">
      <c r="A60" s="76" t="s">
        <v>552</v>
      </c>
      <c r="B60" s="79" t="s">
        <v>413</v>
      </c>
      <c r="C60" s="75" t="s">
        <v>87</v>
      </c>
      <c r="D60" s="75">
        <v>1.3</v>
      </c>
      <c r="E60" s="88">
        <v>109.25</v>
      </c>
      <c r="F60" s="89">
        <f t="shared" si="3"/>
        <v>142.02500000000001</v>
      </c>
    </row>
    <row r="61" spans="1:6" s="112" customFormat="1" ht="12.75" customHeight="1">
      <c r="A61" s="76" t="s">
        <v>553</v>
      </c>
      <c r="B61" s="79" t="s">
        <v>282</v>
      </c>
      <c r="C61" s="75" t="s">
        <v>87</v>
      </c>
      <c r="D61" s="93">
        <v>1</v>
      </c>
      <c r="E61" s="88">
        <v>116.6</v>
      </c>
      <c r="F61" s="89">
        <f t="shared" si="3"/>
        <v>116.6</v>
      </c>
    </row>
    <row r="62" spans="1:6" s="112" customFormat="1">
      <c r="A62" s="76" t="s">
        <v>554</v>
      </c>
      <c r="B62" s="79" t="s">
        <v>58</v>
      </c>
      <c r="C62" s="75" t="s">
        <v>87</v>
      </c>
      <c r="D62" s="93">
        <v>1</v>
      </c>
      <c r="E62" s="88">
        <v>39.46</v>
      </c>
      <c r="F62" s="89">
        <f t="shared" si="3"/>
        <v>39.46</v>
      </c>
    </row>
    <row r="63" spans="1:6" ht="15">
      <c r="A63" s="84" t="s">
        <v>474</v>
      </c>
      <c r="B63" s="85" t="s">
        <v>560</v>
      </c>
      <c r="C63" s="86"/>
      <c r="D63" s="75"/>
      <c r="E63" s="88"/>
      <c r="F63" s="89"/>
    </row>
    <row r="64" spans="1:6" s="112" customFormat="1">
      <c r="A64" s="76" t="s">
        <v>555</v>
      </c>
      <c r="B64" s="79" t="s">
        <v>285</v>
      </c>
      <c r="C64" s="121" t="s">
        <v>87</v>
      </c>
      <c r="D64" s="75">
        <v>8.6</v>
      </c>
      <c r="E64" s="88">
        <f>45.51*0.388+65.09*0.612</f>
        <v>57.492959999999997</v>
      </c>
      <c r="F64" s="89">
        <f t="shared" ref="F64:F70" si="4">E64*D64</f>
        <v>494.43945599999995</v>
      </c>
    </row>
    <row r="65" spans="1:6" s="112" customFormat="1">
      <c r="A65" s="76" t="s">
        <v>556</v>
      </c>
      <c r="B65" s="59" t="s">
        <v>223</v>
      </c>
      <c r="C65" s="121" t="s">
        <v>87</v>
      </c>
      <c r="D65" s="75">
        <v>4.2</v>
      </c>
      <c r="E65" s="88">
        <f>45.51*0.312+65.09*0.492+58.09*0.196</f>
        <v>57.609040000000007</v>
      </c>
      <c r="F65" s="89">
        <f t="shared" si="4"/>
        <v>241.95796800000005</v>
      </c>
    </row>
    <row r="66" spans="1:6" ht="14.25">
      <c r="A66" s="84" t="s">
        <v>475</v>
      </c>
      <c r="B66" s="137" t="s">
        <v>70</v>
      </c>
      <c r="C66" s="73" t="s">
        <v>87</v>
      </c>
      <c r="D66" s="75">
        <v>7.2999999999999995E-2</v>
      </c>
      <c r="E66" s="88">
        <v>340.6</v>
      </c>
      <c r="F66" s="89">
        <f t="shared" si="4"/>
        <v>24.863800000000001</v>
      </c>
    </row>
    <row r="67" spans="1:6" ht="14.25">
      <c r="A67" s="84" t="s">
        <v>476</v>
      </c>
      <c r="B67" s="85" t="s">
        <v>289</v>
      </c>
      <c r="C67" s="73" t="s">
        <v>87</v>
      </c>
      <c r="D67" s="75">
        <v>0.36499999999999999</v>
      </c>
      <c r="E67" s="88">
        <v>204.5</v>
      </c>
      <c r="F67" s="89">
        <f t="shared" si="4"/>
        <v>74.642499999999998</v>
      </c>
    </row>
    <row r="68" spans="1:6" ht="14.25">
      <c r="A68" s="84" t="s">
        <v>477</v>
      </c>
      <c r="B68" s="85" t="s">
        <v>290</v>
      </c>
      <c r="C68" s="73" t="s">
        <v>87</v>
      </c>
      <c r="D68" s="75">
        <v>0.36499999999999999</v>
      </c>
      <c r="E68" s="88">
        <v>24.27</v>
      </c>
      <c r="F68" s="89">
        <f t="shared" si="4"/>
        <v>8.8585499999999993</v>
      </c>
    </row>
    <row r="69" spans="1:6" ht="14.25">
      <c r="A69" s="84" t="s">
        <v>557</v>
      </c>
      <c r="B69" s="85" t="s">
        <v>69</v>
      </c>
      <c r="C69" s="73" t="s">
        <v>87</v>
      </c>
      <c r="D69" s="75">
        <v>1.8</v>
      </c>
      <c r="E69" s="88">
        <v>4.4400000000000004</v>
      </c>
      <c r="F69" s="89">
        <f t="shared" si="4"/>
        <v>7.9920000000000009</v>
      </c>
    </row>
    <row r="70" spans="1:6" ht="14.25">
      <c r="A70" s="84" t="s">
        <v>558</v>
      </c>
      <c r="B70" s="85" t="s">
        <v>291</v>
      </c>
      <c r="C70" s="73" t="s">
        <v>87</v>
      </c>
      <c r="D70" s="75">
        <v>7.2999999999999995E-2</v>
      </c>
      <c r="E70" s="88">
        <v>362</v>
      </c>
      <c r="F70" s="89">
        <f t="shared" si="4"/>
        <v>26.425999999999998</v>
      </c>
    </row>
    <row r="71" spans="1:6" ht="15.75">
      <c r="A71" s="96" t="s">
        <v>374</v>
      </c>
      <c r="B71" s="97"/>
      <c r="C71" s="67"/>
      <c r="D71" s="67"/>
      <c r="E71" s="316"/>
      <c r="F71" s="98">
        <f>SUM(F12:F70)</f>
        <v>14168.678381499996</v>
      </c>
    </row>
    <row r="72" spans="1:6" ht="15.75">
      <c r="A72" s="99" t="s">
        <v>375</v>
      </c>
      <c r="B72" s="100"/>
      <c r="C72" s="101"/>
      <c r="D72" s="101"/>
      <c r="E72" s="101"/>
      <c r="F72" s="102">
        <f>F71/12</f>
        <v>1180.7231984583329</v>
      </c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</sheetData>
  <mergeCells count="2">
    <mergeCell ref="A1:F1"/>
    <mergeCell ref="A2:F2"/>
  </mergeCells>
  <phoneticPr fontId="30" type="noConversion"/>
  <printOptions horizontalCentered="1"/>
  <pageMargins left="0.47244094488188981" right="0.19685039370078741" top="0.11811023622047245" bottom="0.23622047244094491" header="0.86614173228346458" footer="0.82677165354330717"/>
  <pageSetup paperSize="9" scale="88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opLeftCell="A37" zoomScale="75" workbookViewId="0">
      <selection activeCell="E48" sqref="E48"/>
    </sheetView>
  </sheetViews>
  <sheetFormatPr defaultRowHeight="12.75"/>
  <cols>
    <col min="1" max="1" width="5.28515625" customWidth="1"/>
    <col min="2" max="2" width="28.42578125" customWidth="1"/>
    <col min="3" max="3" width="8.85546875" customWidth="1"/>
    <col min="4" max="4" width="16.85546875" customWidth="1"/>
    <col min="5" max="5" width="12.42578125" customWidth="1"/>
    <col min="6" max="6" width="14.7109375" customWidth="1"/>
  </cols>
  <sheetData>
    <row r="1" spans="1:6" ht="15.75">
      <c r="A1" s="397" t="s">
        <v>414</v>
      </c>
      <c r="B1" s="397"/>
      <c r="C1" s="397"/>
      <c r="D1" s="397"/>
      <c r="E1" s="397"/>
      <c r="F1" s="397"/>
    </row>
    <row r="2" spans="1:6" ht="15.75">
      <c r="A2" s="397" t="s">
        <v>323</v>
      </c>
      <c r="B2" s="397"/>
      <c r="C2" s="397"/>
      <c r="D2" s="397"/>
      <c r="E2" s="397"/>
      <c r="F2" s="397"/>
    </row>
    <row r="3" spans="1:6" ht="15.75">
      <c r="A3" s="114"/>
      <c r="B3" s="115"/>
      <c r="C3" s="116"/>
      <c r="D3" s="117"/>
      <c r="E3" s="116"/>
      <c r="F3" s="58"/>
    </row>
    <row r="4" spans="1:6">
      <c r="A4" s="108" t="s">
        <v>42</v>
      </c>
      <c r="B4" s="250"/>
      <c r="C4" s="108" t="s">
        <v>92</v>
      </c>
      <c r="D4" s="109" t="s">
        <v>238</v>
      </c>
      <c r="E4" s="108" t="s">
        <v>184</v>
      </c>
      <c r="F4" s="108" t="s">
        <v>107</v>
      </c>
    </row>
    <row r="5" spans="1:6">
      <c r="A5" s="106" t="s">
        <v>373</v>
      </c>
      <c r="B5" s="110" t="s">
        <v>99</v>
      </c>
      <c r="C5" s="106" t="s">
        <v>81</v>
      </c>
      <c r="D5" s="269" t="s">
        <v>240</v>
      </c>
      <c r="E5" s="106" t="s">
        <v>239</v>
      </c>
      <c r="F5" s="106" t="s">
        <v>105</v>
      </c>
    </row>
    <row r="6" spans="1:6">
      <c r="A6" s="302"/>
      <c r="B6" s="250" t="s">
        <v>304</v>
      </c>
      <c r="C6" s="106"/>
      <c r="D6" s="269" t="s">
        <v>626</v>
      </c>
      <c r="E6" s="106" t="s">
        <v>95</v>
      </c>
      <c r="F6" s="106"/>
    </row>
    <row r="7" spans="1:6">
      <c r="A7" s="302"/>
      <c r="B7" s="252"/>
      <c r="C7" s="106"/>
      <c r="D7" s="269" t="s">
        <v>178</v>
      </c>
      <c r="E7" s="106" t="s">
        <v>666</v>
      </c>
      <c r="F7" s="106"/>
    </row>
    <row r="8" spans="1:6" ht="14.25" customHeight="1">
      <c r="A8" s="302"/>
      <c r="B8" s="253"/>
      <c r="C8" s="106"/>
      <c r="D8" s="269"/>
      <c r="E8" s="106" t="s">
        <v>665</v>
      </c>
      <c r="F8" s="106"/>
    </row>
    <row r="9" spans="1:6">
      <c r="A9" s="302"/>
      <c r="B9" s="253"/>
      <c r="C9" s="106"/>
      <c r="D9" s="269"/>
      <c r="E9" s="303" t="s">
        <v>655</v>
      </c>
      <c r="F9" s="150" t="s">
        <v>655</v>
      </c>
    </row>
    <row r="10" spans="1:6">
      <c r="A10" s="70"/>
      <c r="B10" s="69"/>
      <c r="C10" s="82"/>
      <c r="D10" s="83"/>
      <c r="E10" s="70"/>
      <c r="F10" s="70"/>
    </row>
    <row r="11" spans="1:6" ht="14.25">
      <c r="A11" s="84">
        <v>1</v>
      </c>
      <c r="B11" s="120" t="s">
        <v>324</v>
      </c>
      <c r="C11" s="80" t="s">
        <v>87</v>
      </c>
      <c r="D11" s="75"/>
      <c r="E11" s="80"/>
      <c r="F11" s="75"/>
    </row>
    <row r="12" spans="1:6">
      <c r="A12" s="76" t="s">
        <v>424</v>
      </c>
      <c r="B12" s="81" t="s">
        <v>48</v>
      </c>
      <c r="C12" s="80" t="s">
        <v>87</v>
      </c>
      <c r="D12" s="75">
        <v>51.1</v>
      </c>
      <c r="E12" s="88">
        <v>12.52</v>
      </c>
      <c r="F12" s="89">
        <f t="shared" ref="F12:F24" si="0">E12*D12</f>
        <v>639.77200000000005</v>
      </c>
    </row>
    <row r="13" spans="1:6">
      <c r="A13" s="76" t="s">
        <v>425</v>
      </c>
      <c r="B13" s="81" t="s">
        <v>49</v>
      </c>
      <c r="C13" s="80" t="s">
        <v>87</v>
      </c>
      <c r="D13" s="75">
        <v>28</v>
      </c>
      <c r="E13" s="88">
        <v>11.74</v>
      </c>
      <c r="F13" s="89">
        <f t="shared" si="0"/>
        <v>328.72</v>
      </c>
    </row>
    <row r="14" spans="1:6">
      <c r="A14" s="76" t="s">
        <v>426</v>
      </c>
      <c r="B14" s="81" t="s">
        <v>120</v>
      </c>
      <c r="C14" s="80" t="s">
        <v>87</v>
      </c>
      <c r="D14" s="75">
        <v>7.9</v>
      </c>
      <c r="E14" s="88">
        <v>9.1199999999999992</v>
      </c>
      <c r="F14" s="89">
        <f t="shared" si="0"/>
        <v>72.048000000000002</v>
      </c>
    </row>
    <row r="15" spans="1:6">
      <c r="A15" s="76" t="s">
        <v>427</v>
      </c>
      <c r="B15" s="81" t="s">
        <v>50</v>
      </c>
      <c r="C15" s="80" t="s">
        <v>87</v>
      </c>
      <c r="D15" s="75">
        <v>4</v>
      </c>
      <c r="E15" s="88">
        <v>15.53</v>
      </c>
      <c r="F15" s="89">
        <f t="shared" si="0"/>
        <v>62.12</v>
      </c>
    </row>
    <row r="16" spans="1:6">
      <c r="A16" s="76" t="s">
        <v>428</v>
      </c>
      <c r="B16" s="81" t="s">
        <v>47</v>
      </c>
      <c r="C16" s="80" t="s">
        <v>87</v>
      </c>
      <c r="D16" s="75">
        <v>1.8</v>
      </c>
      <c r="E16" s="88">
        <v>21.56</v>
      </c>
      <c r="F16" s="89">
        <f t="shared" si="0"/>
        <v>38.808</v>
      </c>
    </row>
    <row r="17" spans="1:6">
      <c r="A17" s="76" t="s">
        <v>429</v>
      </c>
      <c r="B17" s="81" t="s">
        <v>121</v>
      </c>
      <c r="C17" s="80" t="s">
        <v>87</v>
      </c>
      <c r="D17" s="75">
        <v>1.2</v>
      </c>
      <c r="E17" s="88">
        <v>10.62</v>
      </c>
      <c r="F17" s="89">
        <f t="shared" si="0"/>
        <v>12.743999999999998</v>
      </c>
    </row>
    <row r="18" spans="1:6">
      <c r="A18" s="76" t="s">
        <v>430</v>
      </c>
      <c r="B18" s="81" t="s">
        <v>122</v>
      </c>
      <c r="C18" s="80" t="s">
        <v>87</v>
      </c>
      <c r="D18" s="75">
        <v>2.2999999999999998</v>
      </c>
      <c r="E18" s="88">
        <v>10.9</v>
      </c>
      <c r="F18" s="89">
        <f t="shared" si="0"/>
        <v>25.07</v>
      </c>
    </row>
    <row r="19" spans="1:6">
      <c r="A19" s="76" t="s">
        <v>431</v>
      </c>
      <c r="B19" s="81" t="s">
        <v>123</v>
      </c>
      <c r="C19" s="80" t="s">
        <v>87</v>
      </c>
      <c r="D19" s="75">
        <v>3.4</v>
      </c>
      <c r="E19" s="88">
        <v>42.35</v>
      </c>
      <c r="F19" s="89">
        <f t="shared" si="0"/>
        <v>143.99</v>
      </c>
    </row>
    <row r="20" spans="1:6">
      <c r="A20" s="76" t="s">
        <v>432</v>
      </c>
      <c r="B20" s="81" t="s">
        <v>124</v>
      </c>
      <c r="C20" s="80" t="s">
        <v>87</v>
      </c>
      <c r="D20" s="75">
        <v>0.9</v>
      </c>
      <c r="E20" s="88">
        <v>22.83</v>
      </c>
      <c r="F20" s="89">
        <f t="shared" si="0"/>
        <v>20.547000000000001</v>
      </c>
    </row>
    <row r="21" spans="1:6">
      <c r="A21" s="76" t="s">
        <v>433</v>
      </c>
      <c r="B21" s="81" t="s">
        <v>46</v>
      </c>
      <c r="C21" s="80" t="s">
        <v>87</v>
      </c>
      <c r="D21" s="75">
        <v>0.8</v>
      </c>
      <c r="E21" s="88">
        <v>14.97</v>
      </c>
      <c r="F21" s="89">
        <f t="shared" si="0"/>
        <v>11.976000000000001</v>
      </c>
    </row>
    <row r="22" spans="1:6">
      <c r="A22" s="76" t="s">
        <v>434</v>
      </c>
      <c r="B22" s="81" t="s">
        <v>266</v>
      </c>
      <c r="C22" s="324" t="s">
        <v>87</v>
      </c>
      <c r="D22" s="75">
        <v>5.7</v>
      </c>
      <c r="E22" s="323">
        <v>8.7100000000000009</v>
      </c>
      <c r="F22" s="163">
        <f t="shared" si="0"/>
        <v>49.647000000000006</v>
      </c>
    </row>
    <row r="23" spans="1:6" ht="14.25">
      <c r="A23" s="84" t="s">
        <v>435</v>
      </c>
      <c r="B23" s="120" t="s">
        <v>267</v>
      </c>
      <c r="C23" s="80" t="s">
        <v>87</v>
      </c>
      <c r="D23" s="75">
        <v>1.1000000000000001</v>
      </c>
      <c r="E23" s="88">
        <v>30.18</v>
      </c>
      <c r="F23" s="89">
        <f t="shared" si="0"/>
        <v>33.198</v>
      </c>
    </row>
    <row r="24" spans="1:6" ht="14.25">
      <c r="A24" s="84" t="s">
        <v>436</v>
      </c>
      <c r="B24" s="120" t="s">
        <v>43</v>
      </c>
      <c r="C24" s="80" t="s">
        <v>87</v>
      </c>
      <c r="D24" s="75">
        <v>93.7</v>
      </c>
      <c r="E24" s="88">
        <v>5.71</v>
      </c>
      <c r="F24" s="89">
        <f t="shared" si="0"/>
        <v>535.02700000000004</v>
      </c>
    </row>
    <row r="25" spans="1:6" ht="14.25">
      <c r="A25" s="84" t="s">
        <v>437</v>
      </c>
      <c r="B25" s="120" t="s">
        <v>44</v>
      </c>
      <c r="C25" s="80"/>
      <c r="D25" s="75"/>
      <c r="E25" s="88"/>
      <c r="F25" s="89"/>
    </row>
    <row r="26" spans="1:6">
      <c r="A26" s="76" t="s">
        <v>438</v>
      </c>
      <c r="B26" s="81" t="s">
        <v>52</v>
      </c>
      <c r="C26" s="80" t="s">
        <v>87</v>
      </c>
      <c r="D26" s="75">
        <v>21.9</v>
      </c>
      <c r="E26" s="88">
        <v>2.89</v>
      </c>
      <c r="F26" s="89">
        <f t="shared" ref="F26:F32" si="1">E26*D26</f>
        <v>63.290999999999997</v>
      </c>
    </row>
    <row r="27" spans="1:6">
      <c r="A27" s="76" t="s">
        <v>439</v>
      </c>
      <c r="B27" s="81" t="s">
        <v>268</v>
      </c>
      <c r="C27" s="80" t="s">
        <v>87</v>
      </c>
      <c r="D27" s="75">
        <v>21.9</v>
      </c>
      <c r="E27" s="88">
        <v>19.190000000000001</v>
      </c>
      <c r="F27" s="89">
        <f t="shared" si="1"/>
        <v>420.26100000000002</v>
      </c>
    </row>
    <row r="28" spans="1:6">
      <c r="A28" s="76" t="s">
        <v>440</v>
      </c>
      <c r="B28" s="81" t="s">
        <v>292</v>
      </c>
      <c r="C28" s="80" t="s">
        <v>87</v>
      </c>
      <c r="D28" s="75">
        <v>10.9</v>
      </c>
      <c r="E28" s="88">
        <v>7.08</v>
      </c>
      <c r="F28" s="89">
        <f t="shared" si="1"/>
        <v>77.171999999999997</v>
      </c>
    </row>
    <row r="29" spans="1:6">
      <c r="A29" s="76" t="s">
        <v>441</v>
      </c>
      <c r="B29" s="81" t="s">
        <v>269</v>
      </c>
      <c r="C29" s="80" t="s">
        <v>87</v>
      </c>
      <c r="D29" s="75">
        <v>8.6999999999999993</v>
      </c>
      <c r="E29" s="88">
        <v>10.57</v>
      </c>
      <c r="F29" s="89">
        <f t="shared" si="1"/>
        <v>91.958999999999989</v>
      </c>
    </row>
    <row r="30" spans="1:6">
      <c r="A30" s="76" t="s">
        <v>442</v>
      </c>
      <c r="B30" s="81" t="s">
        <v>411</v>
      </c>
      <c r="C30" s="80" t="s">
        <v>87</v>
      </c>
      <c r="D30" s="75">
        <v>8.6999999999999993</v>
      </c>
      <c r="E30" s="88">
        <v>5.53</v>
      </c>
      <c r="F30" s="89">
        <f t="shared" si="1"/>
        <v>48.110999999999997</v>
      </c>
    </row>
    <row r="31" spans="1:6">
      <c r="A31" s="76" t="s">
        <v>443</v>
      </c>
      <c r="B31" s="81" t="s">
        <v>271</v>
      </c>
      <c r="C31" s="80" t="s">
        <v>87</v>
      </c>
      <c r="D31" s="75">
        <v>8.6999999999999993</v>
      </c>
      <c r="E31" s="88">
        <v>5.93</v>
      </c>
      <c r="F31" s="89">
        <f t="shared" si="1"/>
        <v>51.590999999999994</v>
      </c>
    </row>
    <row r="32" spans="1:6">
      <c r="A32" s="76" t="s">
        <v>444</v>
      </c>
      <c r="B32" s="81" t="s">
        <v>559</v>
      </c>
      <c r="C32" s="324" t="s">
        <v>87</v>
      </c>
      <c r="D32" s="75">
        <v>28.5</v>
      </c>
      <c r="E32" s="331">
        <f>2.89*0.224+19.19*0.224+(7.08+5.53)/2*0.165+10.57*0.174+5.93*0.155+11.31*0.058</f>
        <v>9.4005549999999989</v>
      </c>
      <c r="F32" s="163">
        <f t="shared" si="1"/>
        <v>267.91581749999995</v>
      </c>
    </row>
    <row r="33" spans="1:6" ht="14.25">
      <c r="A33" s="84" t="s">
        <v>445</v>
      </c>
      <c r="B33" s="120" t="s">
        <v>538</v>
      </c>
      <c r="C33" s="80"/>
      <c r="D33" s="75"/>
      <c r="E33" s="331"/>
      <c r="F33" s="89"/>
    </row>
    <row r="34" spans="1:6">
      <c r="A34" s="122" t="s">
        <v>446</v>
      </c>
      <c r="B34" s="81" t="s">
        <v>273</v>
      </c>
      <c r="C34" s="80" t="s">
        <v>87</v>
      </c>
      <c r="D34" s="75">
        <v>30.4</v>
      </c>
      <c r="E34" s="331">
        <v>14.06</v>
      </c>
      <c r="F34" s="89">
        <f t="shared" ref="F34:F47" si="2">E34*D34</f>
        <v>427.42399999999998</v>
      </c>
    </row>
    <row r="35" spans="1:6" s="299" customFormat="1">
      <c r="A35" s="122" t="s">
        <v>447</v>
      </c>
      <c r="B35" s="81" t="s">
        <v>274</v>
      </c>
      <c r="C35" s="324" t="s">
        <v>87</v>
      </c>
      <c r="D35" s="75">
        <v>9.1</v>
      </c>
      <c r="E35" s="331">
        <f>14.06*0.692+81.26*0.308</f>
        <v>34.757600000000004</v>
      </c>
      <c r="F35" s="89">
        <f t="shared" si="2"/>
        <v>316.29416000000003</v>
      </c>
    </row>
    <row r="36" spans="1:6">
      <c r="A36" s="122" t="s">
        <v>448</v>
      </c>
      <c r="B36" s="81" t="s">
        <v>412</v>
      </c>
      <c r="C36" s="80" t="s">
        <v>87</v>
      </c>
      <c r="D36" s="75">
        <v>6.1</v>
      </c>
      <c r="E36" s="88">
        <v>43.61</v>
      </c>
      <c r="F36" s="89">
        <f t="shared" si="2"/>
        <v>266.02099999999996</v>
      </c>
    </row>
    <row r="37" spans="1:6">
      <c r="A37" s="122" t="s">
        <v>449</v>
      </c>
      <c r="B37" s="81" t="s">
        <v>275</v>
      </c>
      <c r="C37" s="80" t="s">
        <v>87</v>
      </c>
      <c r="D37" s="75">
        <v>6.1</v>
      </c>
      <c r="E37" s="88">
        <v>33.340000000000003</v>
      </c>
      <c r="F37" s="89">
        <f t="shared" si="2"/>
        <v>203.374</v>
      </c>
    </row>
    <row r="38" spans="1:6">
      <c r="A38" s="122" t="s">
        <v>450</v>
      </c>
      <c r="B38" s="81" t="s">
        <v>276</v>
      </c>
      <c r="C38" s="80" t="s">
        <v>87</v>
      </c>
      <c r="D38" s="75">
        <v>3</v>
      </c>
      <c r="E38" s="88">
        <v>34.03</v>
      </c>
      <c r="F38" s="89">
        <f t="shared" si="2"/>
        <v>102.09</v>
      </c>
    </row>
    <row r="39" spans="1:6">
      <c r="A39" s="122" t="s">
        <v>451</v>
      </c>
      <c r="B39" s="81" t="s">
        <v>277</v>
      </c>
      <c r="C39" s="324" t="s">
        <v>87</v>
      </c>
      <c r="D39" s="75">
        <v>6.1</v>
      </c>
      <c r="E39" s="88">
        <v>14.06</v>
      </c>
      <c r="F39" s="89">
        <f t="shared" si="2"/>
        <v>85.765999999999991</v>
      </c>
    </row>
    <row r="40" spans="1:6" ht="14.25">
      <c r="A40" s="84" t="s">
        <v>452</v>
      </c>
      <c r="B40" s="120" t="s">
        <v>325</v>
      </c>
      <c r="C40" s="80" t="s">
        <v>278</v>
      </c>
      <c r="D40" s="75">
        <v>54.8</v>
      </c>
      <c r="E40" s="88">
        <v>18.54</v>
      </c>
      <c r="F40" s="89">
        <f t="shared" si="2"/>
        <v>1015.9919999999998</v>
      </c>
    </row>
    <row r="41" spans="1:6" ht="14.25">
      <c r="A41" s="123" t="s">
        <v>453</v>
      </c>
      <c r="B41" s="120" t="s">
        <v>54</v>
      </c>
      <c r="C41" s="80" t="s">
        <v>87</v>
      </c>
      <c r="D41" s="75">
        <v>5.5</v>
      </c>
      <c r="E41" s="88">
        <v>111.11</v>
      </c>
      <c r="F41" s="89">
        <f t="shared" si="2"/>
        <v>611.10500000000002</v>
      </c>
    </row>
    <row r="42" spans="1:6" ht="14.25">
      <c r="A42" s="84" t="s">
        <v>458</v>
      </c>
      <c r="B42" s="120" t="s">
        <v>286</v>
      </c>
      <c r="C42" s="80" t="s">
        <v>87</v>
      </c>
      <c r="D42" s="75">
        <v>23.1</v>
      </c>
      <c r="E42" s="88">
        <v>17.2</v>
      </c>
      <c r="F42" s="89">
        <f t="shared" si="2"/>
        <v>397.32</v>
      </c>
    </row>
    <row r="43" spans="1:6" ht="14.25">
      <c r="A43" s="84" t="s">
        <v>465</v>
      </c>
      <c r="B43" s="120" t="s">
        <v>288</v>
      </c>
      <c r="C43" s="80" t="s">
        <v>87</v>
      </c>
      <c r="D43" s="75">
        <v>1.1000000000000001</v>
      </c>
      <c r="E43" s="88">
        <v>97.65</v>
      </c>
      <c r="F43" s="89">
        <f t="shared" si="2"/>
        <v>107.41500000000002</v>
      </c>
    </row>
    <row r="44" spans="1:6" ht="14.25">
      <c r="A44" s="84" t="s">
        <v>466</v>
      </c>
      <c r="B44" s="120" t="s">
        <v>287</v>
      </c>
      <c r="C44" s="80" t="s">
        <v>87</v>
      </c>
      <c r="D44" s="75">
        <v>6.1</v>
      </c>
      <c r="E44" s="88">
        <f>40.81*0.792+51.19*0.208</f>
        <v>42.969040000000007</v>
      </c>
      <c r="F44" s="89">
        <f t="shared" si="2"/>
        <v>262.11114400000002</v>
      </c>
    </row>
    <row r="45" spans="1:6" ht="14.25">
      <c r="A45" s="84" t="s">
        <v>469</v>
      </c>
      <c r="B45" s="120" t="s">
        <v>60</v>
      </c>
      <c r="C45" s="80" t="s">
        <v>87</v>
      </c>
      <c r="D45" s="75">
        <v>12.8</v>
      </c>
      <c r="E45" s="88">
        <v>117.2</v>
      </c>
      <c r="F45" s="89">
        <f t="shared" si="2"/>
        <v>1500.16</v>
      </c>
    </row>
    <row r="46" spans="1:6" ht="14.25">
      <c r="A46" s="84" t="s">
        <v>470</v>
      </c>
      <c r="B46" s="120" t="s">
        <v>68</v>
      </c>
      <c r="C46" s="80" t="s">
        <v>87</v>
      </c>
      <c r="D46" s="75">
        <v>5.0999999999999996</v>
      </c>
      <c r="E46" s="88">
        <v>32.380000000000003</v>
      </c>
      <c r="F46" s="89">
        <f t="shared" si="2"/>
        <v>165.13800000000001</v>
      </c>
    </row>
    <row r="47" spans="1:6" ht="14.25">
      <c r="A47" s="84" t="s">
        <v>471</v>
      </c>
      <c r="B47" s="120" t="s">
        <v>352</v>
      </c>
      <c r="C47" s="80" t="s">
        <v>88</v>
      </c>
      <c r="D47" s="93">
        <v>365</v>
      </c>
      <c r="E47" s="94">
        <f>14.3/10</f>
        <v>1.4300000000000002</v>
      </c>
      <c r="F47" s="89">
        <f t="shared" si="2"/>
        <v>521.95000000000005</v>
      </c>
    </row>
    <row r="48" spans="1:6" ht="14.25">
      <c r="A48" s="84" t="s">
        <v>472</v>
      </c>
      <c r="B48" s="120" t="s">
        <v>539</v>
      </c>
      <c r="C48" s="80"/>
      <c r="D48" s="75"/>
      <c r="E48" s="88"/>
      <c r="F48" s="89"/>
    </row>
    <row r="49" spans="1:6">
      <c r="A49" s="76" t="s">
        <v>542</v>
      </c>
      <c r="B49" s="81" t="s">
        <v>59</v>
      </c>
      <c r="C49" s="80" t="s">
        <v>87</v>
      </c>
      <c r="D49" s="75">
        <v>82.1</v>
      </c>
      <c r="E49" s="88">
        <v>13.32</v>
      </c>
      <c r="F49" s="89">
        <f>E49*D49</f>
        <v>1093.5719999999999</v>
      </c>
    </row>
    <row r="50" spans="1:6">
      <c r="A50" s="76" t="s">
        <v>543</v>
      </c>
      <c r="B50" s="81" t="s">
        <v>284</v>
      </c>
      <c r="C50" s="80" t="s">
        <v>87</v>
      </c>
      <c r="D50" s="75">
        <v>82.1</v>
      </c>
      <c r="E50" s="88">
        <v>16.62</v>
      </c>
      <c r="F50" s="89">
        <f>E50*D50</f>
        <v>1364.502</v>
      </c>
    </row>
    <row r="51" spans="1:6">
      <c r="A51" s="76" t="s">
        <v>544</v>
      </c>
      <c r="B51" s="81" t="s">
        <v>61</v>
      </c>
      <c r="C51" s="80" t="s">
        <v>87</v>
      </c>
      <c r="D51" s="75">
        <v>20.7</v>
      </c>
      <c r="E51" s="88">
        <v>66.02</v>
      </c>
      <c r="F51" s="89">
        <f>E51*D51</f>
        <v>1366.6139999999998</v>
      </c>
    </row>
    <row r="52" spans="1:6">
      <c r="A52" s="76" t="s">
        <v>545</v>
      </c>
      <c r="B52" s="81" t="s">
        <v>62</v>
      </c>
      <c r="C52" s="80" t="s">
        <v>87</v>
      </c>
      <c r="D52" s="75">
        <v>7.3</v>
      </c>
      <c r="E52" s="88">
        <v>38.33</v>
      </c>
      <c r="F52" s="89">
        <f>E52*D52</f>
        <v>279.80899999999997</v>
      </c>
    </row>
    <row r="53" spans="1:6">
      <c r="A53" s="76" t="s">
        <v>546</v>
      </c>
      <c r="B53" s="81" t="s">
        <v>63</v>
      </c>
      <c r="C53" s="80" t="s">
        <v>87</v>
      </c>
      <c r="D53" s="75">
        <v>4.3</v>
      </c>
      <c r="E53" s="88">
        <v>120.68</v>
      </c>
      <c r="F53" s="89">
        <f>E53*D53</f>
        <v>518.92399999999998</v>
      </c>
    </row>
    <row r="54" spans="1:6" ht="14.25">
      <c r="A54" s="84" t="s">
        <v>473</v>
      </c>
      <c r="B54" s="120" t="s">
        <v>540</v>
      </c>
      <c r="C54" s="80"/>
      <c r="D54" s="75"/>
      <c r="E54" s="88"/>
      <c r="F54" s="89"/>
    </row>
    <row r="55" spans="1:6">
      <c r="A55" s="76" t="s">
        <v>547</v>
      </c>
      <c r="B55" s="81" t="s">
        <v>279</v>
      </c>
      <c r="C55" s="324" t="s">
        <v>87</v>
      </c>
      <c r="D55" s="75">
        <v>18.3</v>
      </c>
      <c r="E55" s="88">
        <f>82.76*0.964+76.12*0.036</f>
        <v>82.520960000000002</v>
      </c>
      <c r="F55" s="89">
        <f t="shared" ref="F55:F62" si="3">E55*D55</f>
        <v>1510.1335680000002</v>
      </c>
    </row>
    <row r="56" spans="1:6">
      <c r="A56" s="76" t="s">
        <v>548</v>
      </c>
      <c r="B56" s="81" t="s">
        <v>280</v>
      </c>
      <c r="C56" s="80" t="s">
        <v>87</v>
      </c>
      <c r="D56" s="75">
        <v>9.1999999999999993</v>
      </c>
      <c r="E56" s="88">
        <v>74.56</v>
      </c>
      <c r="F56" s="89">
        <f t="shared" si="3"/>
        <v>685.952</v>
      </c>
    </row>
    <row r="57" spans="1:6">
      <c r="A57" s="76" t="s">
        <v>549</v>
      </c>
      <c r="B57" s="81" t="s">
        <v>602</v>
      </c>
      <c r="C57" s="80" t="s">
        <v>87</v>
      </c>
      <c r="D57" s="75">
        <v>9.1999999999999993</v>
      </c>
      <c r="E57" s="88">
        <f>40.06*0.912+93.63*0.088</f>
        <v>44.774159999999995</v>
      </c>
      <c r="F57" s="89">
        <f t="shared" si="3"/>
        <v>411.92227199999991</v>
      </c>
    </row>
    <row r="58" spans="1:6">
      <c r="A58" s="76" t="s">
        <v>550</v>
      </c>
      <c r="B58" s="81" t="s">
        <v>293</v>
      </c>
      <c r="C58" s="80" t="s">
        <v>87</v>
      </c>
      <c r="D58" s="75">
        <v>9.1</v>
      </c>
      <c r="E58" s="88">
        <f>76.73*0.166+42.44*0.37+45.49*0.464</f>
        <v>49.547340000000005</v>
      </c>
      <c r="F58" s="89">
        <f t="shared" si="3"/>
        <v>450.88079400000004</v>
      </c>
    </row>
    <row r="59" spans="1:6" s="299" customFormat="1">
      <c r="A59" s="76" t="s">
        <v>551</v>
      </c>
      <c r="B59" s="81" t="s">
        <v>281</v>
      </c>
      <c r="C59" s="324" t="s">
        <v>87</v>
      </c>
      <c r="D59" s="75">
        <v>6.3</v>
      </c>
      <c r="E59" s="88">
        <f>77.95*0.482+74.34*0.518</f>
        <v>76.080020000000005</v>
      </c>
      <c r="F59" s="89">
        <f t="shared" si="3"/>
        <v>479.304126</v>
      </c>
    </row>
    <row r="60" spans="1:6">
      <c r="A60" s="76" t="s">
        <v>552</v>
      </c>
      <c r="B60" s="81" t="s">
        <v>413</v>
      </c>
      <c r="C60" s="80" t="s">
        <v>87</v>
      </c>
      <c r="D60" s="75">
        <v>2.1</v>
      </c>
      <c r="E60" s="88">
        <v>109.25</v>
      </c>
      <c r="F60" s="89">
        <f t="shared" si="3"/>
        <v>229.42500000000001</v>
      </c>
    </row>
    <row r="61" spans="1:6">
      <c r="A61" s="76" t="s">
        <v>553</v>
      </c>
      <c r="B61" s="81" t="s">
        <v>282</v>
      </c>
      <c r="C61" s="80" t="s">
        <v>87</v>
      </c>
      <c r="D61" s="75">
        <v>1.5</v>
      </c>
      <c r="E61" s="88">
        <v>116.6</v>
      </c>
      <c r="F61" s="89">
        <f t="shared" si="3"/>
        <v>174.89999999999998</v>
      </c>
    </row>
    <row r="62" spans="1:6">
      <c r="A62" s="76" t="s">
        <v>554</v>
      </c>
      <c r="B62" s="81" t="s">
        <v>58</v>
      </c>
      <c r="C62" s="80" t="s">
        <v>87</v>
      </c>
      <c r="D62" s="75">
        <v>1.5</v>
      </c>
      <c r="E62" s="88">
        <v>39.46</v>
      </c>
      <c r="F62" s="89">
        <f t="shared" si="3"/>
        <v>59.19</v>
      </c>
    </row>
    <row r="63" spans="1:6" ht="14.25">
      <c r="A63" s="84" t="s">
        <v>474</v>
      </c>
      <c r="B63" s="120" t="s">
        <v>560</v>
      </c>
      <c r="C63" s="80"/>
      <c r="D63" s="75"/>
      <c r="E63" s="88"/>
      <c r="F63" s="89"/>
    </row>
    <row r="64" spans="1:6">
      <c r="A64" s="76" t="s">
        <v>555</v>
      </c>
      <c r="B64" s="81" t="s">
        <v>285</v>
      </c>
      <c r="C64" s="80" t="s">
        <v>87</v>
      </c>
      <c r="D64" s="75">
        <v>14.6</v>
      </c>
      <c r="E64" s="88">
        <f>45.51*0.388+65.09*0.612</f>
        <v>57.492959999999997</v>
      </c>
      <c r="F64" s="89">
        <f t="shared" ref="F64:F70" si="4">E64*D64</f>
        <v>839.39721599999996</v>
      </c>
    </row>
    <row r="65" spans="1:6">
      <c r="A65" s="76" t="s">
        <v>556</v>
      </c>
      <c r="B65" s="81" t="s">
        <v>223</v>
      </c>
      <c r="C65" s="80" t="s">
        <v>87</v>
      </c>
      <c r="D65" s="75">
        <v>7.3</v>
      </c>
      <c r="E65" s="88">
        <f>45.51*0.312+65.09*0.492+58.09*0.196</f>
        <v>57.609040000000007</v>
      </c>
      <c r="F65" s="89">
        <f t="shared" si="4"/>
        <v>420.54599200000007</v>
      </c>
    </row>
    <row r="66" spans="1:6" ht="14.25">
      <c r="A66" s="84" t="s">
        <v>475</v>
      </c>
      <c r="B66" s="120" t="s">
        <v>70</v>
      </c>
      <c r="C66" s="80" t="s">
        <v>87</v>
      </c>
      <c r="D66" s="75">
        <v>0.1</v>
      </c>
      <c r="E66" s="88">
        <v>340.6</v>
      </c>
      <c r="F66" s="89">
        <f t="shared" si="4"/>
        <v>34.06</v>
      </c>
    </row>
    <row r="67" spans="1:6" ht="14.25">
      <c r="A67" s="84" t="s">
        <v>476</v>
      </c>
      <c r="B67" s="120" t="s">
        <v>289</v>
      </c>
      <c r="C67" s="80" t="s">
        <v>87</v>
      </c>
      <c r="D67" s="75">
        <v>0.36499999999999999</v>
      </c>
      <c r="E67" s="88">
        <v>204.5</v>
      </c>
      <c r="F67" s="89">
        <f t="shared" si="4"/>
        <v>74.642499999999998</v>
      </c>
    </row>
    <row r="68" spans="1:6" ht="14.25">
      <c r="A68" s="84" t="s">
        <v>477</v>
      </c>
      <c r="B68" s="120" t="s">
        <v>290</v>
      </c>
      <c r="C68" s="80" t="s">
        <v>87</v>
      </c>
      <c r="D68" s="75">
        <v>0.36499999999999999</v>
      </c>
      <c r="E68" s="88">
        <v>24.27</v>
      </c>
      <c r="F68" s="89">
        <f t="shared" si="4"/>
        <v>8.8585499999999993</v>
      </c>
    </row>
    <row r="69" spans="1:6" ht="14.25">
      <c r="A69" s="84" t="s">
        <v>557</v>
      </c>
      <c r="B69" s="120" t="s">
        <v>69</v>
      </c>
      <c r="C69" s="80" t="s">
        <v>87</v>
      </c>
      <c r="D69" s="75">
        <v>3.3</v>
      </c>
      <c r="E69" s="88">
        <v>4.4400000000000004</v>
      </c>
      <c r="F69" s="89">
        <f t="shared" si="4"/>
        <v>14.652000000000001</v>
      </c>
    </row>
    <row r="70" spans="1:6" ht="14.25">
      <c r="A70" s="124" t="s">
        <v>558</v>
      </c>
      <c r="B70" s="120" t="s">
        <v>291</v>
      </c>
      <c r="C70" s="80" t="s">
        <v>87</v>
      </c>
      <c r="D70" s="125">
        <v>0.1</v>
      </c>
      <c r="E70" s="126">
        <v>362</v>
      </c>
      <c r="F70" s="89">
        <f t="shared" si="4"/>
        <v>36.200000000000003</v>
      </c>
    </row>
    <row r="71" spans="1:6" ht="15.75">
      <c r="A71" s="96" t="s">
        <v>374</v>
      </c>
      <c r="B71" s="97"/>
      <c r="C71" s="67"/>
      <c r="D71" s="67"/>
      <c r="E71" s="88"/>
      <c r="F71" s="98">
        <f>SUM(F12:F70)</f>
        <v>19029.613139500001</v>
      </c>
    </row>
    <row r="72" spans="1:6" ht="15.75">
      <c r="A72" s="99" t="s">
        <v>375</v>
      </c>
      <c r="B72" s="101"/>
      <c r="C72" s="101"/>
      <c r="D72" s="101"/>
      <c r="E72" s="101"/>
      <c r="F72" s="102">
        <f>F71/12</f>
        <v>1585.8010949583334</v>
      </c>
    </row>
    <row r="73" spans="1:6">
      <c r="E73" s="22"/>
    </row>
  </sheetData>
  <mergeCells count="2">
    <mergeCell ref="A1:F1"/>
    <mergeCell ref="A2:F2"/>
  </mergeCells>
  <phoneticPr fontId="30" type="noConversion"/>
  <printOptions horizontalCentered="1"/>
  <pageMargins left="0.27559055118110237" right="0.27559055118110237" top="0.19685039370078741" bottom="0.23622047244094491" header="0.39370078740157483" footer="0.78740157480314965"/>
  <pageSetup paperSize="9" scale="86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7"/>
  <sheetViews>
    <sheetView zoomScale="75" zoomScaleNormal="75" workbookViewId="0">
      <selection activeCell="E56" sqref="E56"/>
    </sheetView>
  </sheetViews>
  <sheetFormatPr defaultRowHeight="12.75"/>
  <cols>
    <col min="1" max="1" width="6.28515625" style="51" customWidth="1"/>
    <col min="2" max="2" width="23.140625" customWidth="1"/>
    <col min="3" max="3" width="7.85546875" customWidth="1"/>
    <col min="4" max="4" width="19.28515625" customWidth="1"/>
    <col min="5" max="5" width="13.28515625" customWidth="1"/>
    <col min="6" max="6" width="13.85546875" customWidth="1"/>
    <col min="7" max="7" width="9.140625" style="63"/>
    <col min="8" max="8" width="4.7109375" style="63" customWidth="1"/>
    <col min="9" max="10" width="4.7109375" style="62" customWidth="1"/>
    <col min="11" max="43" width="4.7109375" customWidth="1"/>
  </cols>
  <sheetData>
    <row r="1" spans="1:11" ht="16.5" customHeight="1">
      <c r="A1" s="401" t="s">
        <v>641</v>
      </c>
      <c r="B1" s="401"/>
      <c r="C1" s="401"/>
      <c r="D1" s="401"/>
      <c r="E1" s="401"/>
      <c r="F1" s="401"/>
      <c r="G1" s="72"/>
      <c r="H1" s="72"/>
      <c r="I1" s="59"/>
      <c r="J1" s="59"/>
      <c r="K1" s="22"/>
    </row>
    <row r="2" spans="1:11" s="14" customFormat="1" ht="17.25" customHeight="1">
      <c r="A2" s="127"/>
      <c r="B2" s="100"/>
      <c r="C2" s="128"/>
      <c r="D2" s="128"/>
      <c r="E2" s="128"/>
      <c r="F2" s="128"/>
      <c r="G2" s="328"/>
      <c r="H2" s="328"/>
      <c r="I2" s="296"/>
      <c r="J2" s="296"/>
      <c r="K2" s="44"/>
    </row>
    <row r="3" spans="1:11">
      <c r="A3" s="107" t="s">
        <v>42</v>
      </c>
      <c r="B3" s="250" t="s">
        <v>303</v>
      </c>
      <c r="C3" s="108" t="s">
        <v>92</v>
      </c>
      <c r="D3" s="109" t="s">
        <v>97</v>
      </c>
      <c r="E3" s="109" t="s">
        <v>94</v>
      </c>
      <c r="F3" s="108" t="s">
        <v>107</v>
      </c>
      <c r="G3" s="72"/>
      <c r="H3" s="72"/>
      <c r="I3" s="59"/>
      <c r="J3" s="328"/>
      <c r="K3" s="22"/>
    </row>
    <row r="4" spans="1:11">
      <c r="A4" s="248" t="s">
        <v>373</v>
      </c>
      <c r="B4" s="110" t="s">
        <v>304</v>
      </c>
      <c r="C4" s="106" t="s">
        <v>81</v>
      </c>
      <c r="D4" s="269" t="s">
        <v>627</v>
      </c>
      <c r="E4" s="269" t="s">
        <v>95</v>
      </c>
      <c r="F4" s="106" t="s">
        <v>105</v>
      </c>
      <c r="G4" s="72"/>
      <c r="H4" s="72"/>
      <c r="I4" s="59"/>
      <c r="J4" s="329"/>
      <c r="K4" s="22"/>
    </row>
    <row r="5" spans="1:11">
      <c r="A5" s="251"/>
      <c r="B5" s="253"/>
      <c r="C5" s="106"/>
      <c r="D5" s="269" t="s">
        <v>629</v>
      </c>
      <c r="E5" s="269" t="s">
        <v>666</v>
      </c>
      <c r="F5" s="106"/>
      <c r="G5" s="72"/>
      <c r="H5" s="72"/>
      <c r="I5" s="59"/>
      <c r="J5" s="328"/>
      <c r="K5" s="22"/>
    </row>
    <row r="6" spans="1:11">
      <c r="A6" s="251"/>
      <c r="B6" s="274"/>
      <c r="C6" s="269"/>
      <c r="D6" s="106"/>
      <c r="E6" s="269" t="s">
        <v>665</v>
      </c>
      <c r="F6" s="106"/>
      <c r="G6" s="330"/>
      <c r="H6" s="72"/>
      <c r="I6" s="59"/>
      <c r="J6" s="328"/>
      <c r="K6" s="22"/>
    </row>
    <row r="7" spans="1:11">
      <c r="A7" s="255"/>
      <c r="B7" s="304"/>
      <c r="C7" s="305"/>
      <c r="D7" s="150"/>
      <c r="E7" s="305" t="s">
        <v>655</v>
      </c>
      <c r="F7" s="150" t="s">
        <v>655</v>
      </c>
      <c r="G7" s="72"/>
      <c r="H7" s="72"/>
      <c r="I7" s="59"/>
      <c r="J7" s="328"/>
      <c r="K7" s="22"/>
    </row>
    <row r="8" spans="1:11" ht="14.25">
      <c r="A8" s="84">
        <v>1</v>
      </c>
      <c r="B8" s="95" t="s">
        <v>315</v>
      </c>
      <c r="C8" s="80"/>
      <c r="D8" s="74"/>
      <c r="E8" s="80"/>
      <c r="F8" s="75"/>
      <c r="G8" s="72"/>
      <c r="H8" s="72"/>
      <c r="I8" s="59"/>
      <c r="J8" s="59"/>
      <c r="K8" s="22"/>
    </row>
    <row r="9" spans="1:11">
      <c r="A9" s="76" t="s">
        <v>424</v>
      </c>
      <c r="B9" s="62" t="s">
        <v>119</v>
      </c>
      <c r="C9" s="80" t="s">
        <v>87</v>
      </c>
      <c r="D9" s="74">
        <v>0.4</v>
      </c>
      <c r="E9" s="196">
        <v>10.01</v>
      </c>
      <c r="F9" s="89">
        <f t="shared" ref="F9:F20" si="0">E9*D9</f>
        <v>4.0040000000000004</v>
      </c>
      <c r="G9" s="88"/>
      <c r="H9" s="88"/>
      <c r="I9" s="59"/>
      <c r="J9" s="88"/>
      <c r="K9" s="22"/>
    </row>
    <row r="10" spans="1:11">
      <c r="A10" s="76" t="s">
        <v>425</v>
      </c>
      <c r="B10" s="62" t="s">
        <v>120</v>
      </c>
      <c r="C10" s="80" t="s">
        <v>87</v>
      </c>
      <c r="D10" s="133">
        <v>9</v>
      </c>
      <c r="E10" s="196">
        <v>9.1199999999999992</v>
      </c>
      <c r="F10" s="89">
        <f t="shared" si="0"/>
        <v>82.08</v>
      </c>
      <c r="G10" s="88"/>
      <c r="H10" s="88"/>
      <c r="I10" s="59"/>
      <c r="J10" s="88"/>
      <c r="K10" s="22"/>
    </row>
    <row r="11" spans="1:11">
      <c r="A11" s="76" t="s">
        <v>426</v>
      </c>
      <c r="B11" s="62" t="s">
        <v>49</v>
      </c>
      <c r="C11" s="80" t="s">
        <v>87</v>
      </c>
      <c r="D11" s="133">
        <v>39</v>
      </c>
      <c r="E11" s="196">
        <v>11.74</v>
      </c>
      <c r="F11" s="89">
        <f t="shared" si="0"/>
        <v>457.86</v>
      </c>
      <c r="G11" s="88"/>
      <c r="H11" s="88"/>
      <c r="I11" s="59"/>
      <c r="J11" s="88"/>
      <c r="K11" s="22"/>
    </row>
    <row r="12" spans="1:11">
      <c r="A12" s="76" t="s">
        <v>427</v>
      </c>
      <c r="B12" s="62" t="s">
        <v>48</v>
      </c>
      <c r="C12" s="80" t="s">
        <v>87</v>
      </c>
      <c r="D12" s="133">
        <v>62</v>
      </c>
      <c r="E12" s="196">
        <v>12.52</v>
      </c>
      <c r="F12" s="89">
        <f t="shared" si="0"/>
        <v>776.24</v>
      </c>
      <c r="G12" s="88"/>
      <c r="H12" s="88"/>
      <c r="I12" s="59"/>
      <c r="J12" s="88"/>
      <c r="K12" s="22"/>
    </row>
    <row r="13" spans="1:11">
      <c r="A13" s="76" t="s">
        <v>428</v>
      </c>
      <c r="B13" s="62" t="s">
        <v>50</v>
      </c>
      <c r="C13" s="80" t="s">
        <v>87</v>
      </c>
      <c r="D13" s="133">
        <v>4</v>
      </c>
      <c r="E13" s="196">
        <v>15.53</v>
      </c>
      <c r="F13" s="89">
        <f t="shared" si="0"/>
        <v>62.12</v>
      </c>
      <c r="G13" s="88"/>
      <c r="H13" s="88"/>
      <c r="I13" s="59"/>
      <c r="J13" s="88"/>
      <c r="K13" s="22"/>
    </row>
    <row r="14" spans="1:11">
      <c r="A14" s="76" t="s">
        <v>429</v>
      </c>
      <c r="B14" s="62" t="s">
        <v>47</v>
      </c>
      <c r="C14" s="80" t="s">
        <v>87</v>
      </c>
      <c r="D14" s="74">
        <v>2.5</v>
      </c>
      <c r="E14" s="196">
        <v>21.56</v>
      </c>
      <c r="F14" s="89">
        <f t="shared" si="0"/>
        <v>53.9</v>
      </c>
      <c r="G14" s="88"/>
      <c r="H14" s="88"/>
      <c r="I14" s="59"/>
      <c r="J14" s="88"/>
      <c r="K14" s="22"/>
    </row>
    <row r="15" spans="1:11">
      <c r="A15" s="76" t="s">
        <v>430</v>
      </c>
      <c r="B15" s="62" t="s">
        <v>122</v>
      </c>
      <c r="C15" s="80" t="s">
        <v>87</v>
      </c>
      <c r="D15" s="133">
        <v>1</v>
      </c>
      <c r="E15" s="196">
        <v>10.9</v>
      </c>
      <c r="F15" s="89">
        <f t="shared" si="0"/>
        <v>10.9</v>
      </c>
      <c r="G15" s="88"/>
      <c r="H15" s="88"/>
      <c r="I15" s="59"/>
      <c r="J15" s="88"/>
      <c r="K15" s="22"/>
    </row>
    <row r="16" spans="1:11">
      <c r="A16" s="76" t="s">
        <v>431</v>
      </c>
      <c r="B16" s="62" t="s">
        <v>123</v>
      </c>
      <c r="C16" s="80" t="s">
        <v>87</v>
      </c>
      <c r="D16" s="133">
        <v>2</v>
      </c>
      <c r="E16" s="196">
        <v>42.35</v>
      </c>
      <c r="F16" s="89">
        <f t="shared" si="0"/>
        <v>84.7</v>
      </c>
      <c r="G16" s="88"/>
      <c r="H16" s="88"/>
      <c r="I16" s="59"/>
      <c r="J16" s="88"/>
      <c r="K16" s="22"/>
    </row>
    <row r="17" spans="1:11">
      <c r="A17" s="76" t="s">
        <v>432</v>
      </c>
      <c r="B17" s="62" t="s">
        <v>124</v>
      </c>
      <c r="C17" s="80" t="s">
        <v>87</v>
      </c>
      <c r="D17" s="74">
        <v>1.1000000000000001</v>
      </c>
      <c r="E17" s="196">
        <v>22.83</v>
      </c>
      <c r="F17" s="89">
        <f t="shared" si="0"/>
        <v>25.113</v>
      </c>
      <c r="G17" s="88"/>
      <c r="H17" s="88"/>
      <c r="I17" s="59"/>
      <c r="J17" s="88"/>
      <c r="K17" s="22"/>
    </row>
    <row r="18" spans="1:11">
      <c r="A18" s="76" t="s">
        <v>433</v>
      </c>
      <c r="B18" s="62" t="s">
        <v>46</v>
      </c>
      <c r="C18" s="80" t="s">
        <v>87</v>
      </c>
      <c r="D18" s="74">
        <v>1.9</v>
      </c>
      <c r="E18" s="196">
        <v>14.97</v>
      </c>
      <c r="F18" s="89">
        <f t="shared" si="0"/>
        <v>28.443000000000001</v>
      </c>
      <c r="G18" s="88"/>
      <c r="H18" s="88"/>
      <c r="I18" s="59"/>
      <c r="J18" s="88"/>
      <c r="K18" s="22"/>
    </row>
    <row r="19" spans="1:11">
      <c r="A19" s="76" t="s">
        <v>434</v>
      </c>
      <c r="B19" s="62" t="s">
        <v>53</v>
      </c>
      <c r="C19" s="324" t="s">
        <v>87</v>
      </c>
      <c r="D19" s="74">
        <v>0.5</v>
      </c>
      <c r="E19" s="196">
        <v>8.7100000000000009</v>
      </c>
      <c r="F19" s="89">
        <f t="shared" si="0"/>
        <v>4.3550000000000004</v>
      </c>
      <c r="G19" s="88"/>
      <c r="H19" s="88"/>
      <c r="I19" s="59"/>
      <c r="J19" s="88"/>
      <c r="K19" s="22"/>
    </row>
    <row r="20" spans="1:11" ht="14.25">
      <c r="A20" s="84">
        <v>2</v>
      </c>
      <c r="B20" s="95" t="s">
        <v>43</v>
      </c>
      <c r="C20" s="80" t="s">
        <v>87</v>
      </c>
      <c r="D20" s="133">
        <v>95</v>
      </c>
      <c r="E20" s="196">
        <v>5.71</v>
      </c>
      <c r="F20" s="89">
        <f t="shared" si="0"/>
        <v>542.45000000000005</v>
      </c>
      <c r="G20" s="88"/>
      <c r="H20" s="88"/>
      <c r="I20" s="59"/>
      <c r="J20" s="88"/>
      <c r="K20" s="22"/>
    </row>
    <row r="21" spans="1:11" ht="14.25">
      <c r="A21" s="84">
        <v>3</v>
      </c>
      <c r="B21" s="95" t="s">
        <v>561</v>
      </c>
      <c r="C21" s="80"/>
      <c r="D21" s="74"/>
      <c r="E21" s="196"/>
      <c r="F21" s="89"/>
      <c r="G21" s="88"/>
      <c r="H21" s="88"/>
      <c r="I21" s="59"/>
      <c r="J21" s="88"/>
      <c r="K21" s="22"/>
    </row>
    <row r="22" spans="1:11">
      <c r="A22" s="76" t="s">
        <v>478</v>
      </c>
      <c r="B22" s="62" t="s">
        <v>52</v>
      </c>
      <c r="C22" s="80" t="s">
        <v>87</v>
      </c>
      <c r="D22" s="133">
        <v>28</v>
      </c>
      <c r="E22" s="362">
        <v>2.89</v>
      </c>
      <c r="F22" s="89">
        <f t="shared" ref="F22:F27" si="1">E22*D22</f>
        <v>80.92</v>
      </c>
      <c r="G22" s="88"/>
      <c r="H22" s="88"/>
      <c r="I22" s="59"/>
      <c r="J22" s="88"/>
      <c r="K22" s="22"/>
    </row>
    <row r="23" spans="1:11">
      <c r="A23" s="76" t="s">
        <v>479</v>
      </c>
      <c r="B23" s="62" t="s">
        <v>562</v>
      </c>
      <c r="C23" s="324" t="s">
        <v>87</v>
      </c>
      <c r="D23" s="133">
        <v>25</v>
      </c>
      <c r="E23" s="362">
        <f>19.19*0.563+10.57*0.437</f>
        <v>15.42306</v>
      </c>
      <c r="F23" s="89">
        <f t="shared" si="1"/>
        <v>385.57650000000001</v>
      </c>
      <c r="G23" s="323"/>
      <c r="H23" s="88"/>
      <c r="I23" s="59"/>
      <c r="J23" s="88"/>
      <c r="K23" s="22"/>
    </row>
    <row r="24" spans="1:11">
      <c r="A24" s="76" t="s">
        <v>480</v>
      </c>
      <c r="B24" s="62" t="s">
        <v>563</v>
      </c>
      <c r="C24" s="324" t="s">
        <v>87</v>
      </c>
      <c r="D24" s="133">
        <v>18</v>
      </c>
      <c r="E24" s="196">
        <f>(7.08+5.53)/2</f>
        <v>6.3049999999999997</v>
      </c>
      <c r="F24" s="89">
        <f t="shared" si="1"/>
        <v>113.49</v>
      </c>
      <c r="G24" s="88"/>
      <c r="H24" s="88"/>
      <c r="I24" s="59"/>
      <c r="J24" s="88"/>
      <c r="K24" s="22"/>
    </row>
    <row r="25" spans="1:11">
      <c r="A25" s="76" t="s">
        <v>481</v>
      </c>
      <c r="B25" s="62" t="s">
        <v>125</v>
      </c>
      <c r="C25" s="80" t="s">
        <v>87</v>
      </c>
      <c r="D25" s="133">
        <v>10</v>
      </c>
      <c r="E25" s="196">
        <f>5.93*0.937+84.89*0.063</f>
        <v>10.90448</v>
      </c>
      <c r="F25" s="89">
        <f t="shared" si="1"/>
        <v>109.0448</v>
      </c>
      <c r="G25" s="88"/>
      <c r="H25" s="88"/>
      <c r="I25" s="59"/>
      <c r="J25" s="88"/>
      <c r="K25" s="22"/>
    </row>
    <row r="26" spans="1:11">
      <c r="A26" s="76" t="s">
        <v>482</v>
      </c>
      <c r="B26" s="62" t="s">
        <v>51</v>
      </c>
      <c r="C26" s="80" t="s">
        <v>87</v>
      </c>
      <c r="D26" s="133">
        <v>16</v>
      </c>
      <c r="E26" s="196">
        <v>11.31</v>
      </c>
      <c r="F26" s="89">
        <f t="shared" si="1"/>
        <v>180.96</v>
      </c>
      <c r="G26" s="88"/>
      <c r="H26" s="88"/>
      <c r="I26" s="59"/>
      <c r="J26" s="88"/>
      <c r="K26" s="22"/>
    </row>
    <row r="27" spans="1:11">
      <c r="A27" s="76" t="s">
        <v>483</v>
      </c>
      <c r="B27" s="62" t="s">
        <v>53</v>
      </c>
      <c r="C27" s="324" t="s">
        <v>87</v>
      </c>
      <c r="D27" s="133">
        <v>13</v>
      </c>
      <c r="E27" s="375">
        <f>E22*0.222+E23*0.394+E24*0.164+E25*0.163+E26*0.057</f>
        <v>10.174385879999999</v>
      </c>
      <c r="F27" s="89">
        <f t="shared" si="1"/>
        <v>132.26701643999999</v>
      </c>
      <c r="G27" s="323"/>
      <c r="H27" s="323"/>
      <c r="I27" s="296"/>
      <c r="J27" s="323"/>
      <c r="K27" s="22"/>
    </row>
    <row r="28" spans="1:11" ht="14.25">
      <c r="A28" s="84">
        <v>4</v>
      </c>
      <c r="B28" s="95" t="s">
        <v>66</v>
      </c>
      <c r="C28" s="80"/>
      <c r="D28" s="134"/>
      <c r="E28" s="196"/>
      <c r="F28" s="89"/>
      <c r="G28" s="88"/>
      <c r="H28" s="88"/>
      <c r="I28" s="59"/>
      <c r="J28" s="88"/>
      <c r="K28" s="22"/>
    </row>
    <row r="29" spans="1:11">
      <c r="A29" s="76" t="s">
        <v>438</v>
      </c>
      <c r="B29" s="135" t="s">
        <v>564</v>
      </c>
      <c r="C29" s="324" t="s">
        <v>87</v>
      </c>
      <c r="D29" s="133">
        <v>60</v>
      </c>
      <c r="E29" s="196">
        <f>14.06*0.505+33.34*0.2+14.06*0.204+81.26*0.091</f>
        <v>24.031200000000005</v>
      </c>
      <c r="F29" s="89">
        <f>E29*D29</f>
        <v>1441.8720000000003</v>
      </c>
      <c r="G29" s="88"/>
      <c r="H29" s="88"/>
      <c r="I29" s="59"/>
      <c r="J29" s="88"/>
      <c r="K29" s="22"/>
    </row>
    <row r="30" spans="1:11">
      <c r="A30" s="76" t="s">
        <v>439</v>
      </c>
      <c r="B30" s="135" t="s">
        <v>54</v>
      </c>
      <c r="C30" s="80" t="s">
        <v>87</v>
      </c>
      <c r="D30" s="133">
        <v>4</v>
      </c>
      <c r="E30" s="196">
        <v>111.11</v>
      </c>
      <c r="F30" s="89">
        <f>E30*D30</f>
        <v>444.44</v>
      </c>
      <c r="G30" s="88"/>
      <c r="H30" s="88"/>
      <c r="I30" s="59"/>
      <c r="J30" s="88"/>
      <c r="K30" s="22"/>
    </row>
    <row r="31" spans="1:11" ht="14.25">
      <c r="A31" s="84" t="s">
        <v>445</v>
      </c>
      <c r="B31" s="95" t="s">
        <v>631</v>
      </c>
      <c r="C31" s="80"/>
      <c r="D31" s="74"/>
      <c r="E31" s="196"/>
      <c r="F31" s="89"/>
      <c r="G31" s="88"/>
      <c r="H31" s="88"/>
      <c r="I31" s="59"/>
      <c r="J31" s="88"/>
      <c r="K31" s="22"/>
    </row>
    <row r="32" spans="1:11" ht="15">
      <c r="A32" s="76" t="s">
        <v>446</v>
      </c>
      <c r="B32" s="136" t="s">
        <v>134</v>
      </c>
      <c r="C32" s="80" t="s">
        <v>87</v>
      </c>
      <c r="D32" s="133">
        <v>24</v>
      </c>
      <c r="E32" s="196">
        <v>17.2</v>
      </c>
      <c r="F32" s="89">
        <f>E32*D32</f>
        <v>412.79999999999995</v>
      </c>
      <c r="G32" s="88"/>
      <c r="H32" s="88"/>
      <c r="I32" s="59"/>
      <c r="J32" s="88"/>
      <c r="K32" s="22"/>
    </row>
    <row r="33" spans="1:12">
      <c r="A33" s="76" t="s">
        <v>447</v>
      </c>
      <c r="B33" s="135" t="s">
        <v>287</v>
      </c>
      <c r="C33" s="324" t="s">
        <v>87</v>
      </c>
      <c r="D33" s="133">
        <v>13</v>
      </c>
      <c r="E33" s="89">
        <f>40.81*0.792+51.19*0.208</f>
        <v>42.969040000000007</v>
      </c>
      <c r="F33" s="89">
        <f>E33*D33</f>
        <v>558.59752000000003</v>
      </c>
      <c r="G33" s="323"/>
      <c r="H33" s="88"/>
      <c r="I33" s="59"/>
      <c r="J33" s="88"/>
      <c r="K33" s="22"/>
    </row>
    <row r="34" spans="1:12" ht="14.25">
      <c r="A34" s="84" t="s">
        <v>452</v>
      </c>
      <c r="B34" s="137" t="s">
        <v>68</v>
      </c>
      <c r="C34" s="80" t="s">
        <v>87</v>
      </c>
      <c r="D34" s="74">
        <v>7.1</v>
      </c>
      <c r="E34" s="196">
        <v>32.380000000000003</v>
      </c>
      <c r="F34" s="89">
        <f>E34*D34</f>
        <v>229.898</v>
      </c>
      <c r="G34" s="88"/>
      <c r="H34" s="88"/>
      <c r="I34" s="59"/>
      <c r="J34" s="88"/>
      <c r="K34" s="22"/>
    </row>
    <row r="35" spans="1:12" ht="14.25">
      <c r="A35" s="84" t="s">
        <v>453</v>
      </c>
      <c r="B35" s="95" t="s">
        <v>67</v>
      </c>
      <c r="C35" s="80" t="s">
        <v>87</v>
      </c>
      <c r="D35" s="133">
        <v>2</v>
      </c>
      <c r="E35" s="196">
        <v>44.15</v>
      </c>
      <c r="F35" s="89">
        <f>E35*D35</f>
        <v>88.3</v>
      </c>
      <c r="G35" s="88"/>
      <c r="H35" s="88"/>
      <c r="I35" s="59"/>
      <c r="J35" s="88"/>
      <c r="K35" s="22"/>
    </row>
    <row r="36" spans="1:12" ht="14.25">
      <c r="A36" s="84" t="s">
        <v>458</v>
      </c>
      <c r="B36" s="138" t="s">
        <v>45</v>
      </c>
      <c r="C36" s="80"/>
      <c r="D36" s="133"/>
      <c r="E36" s="196"/>
      <c r="F36" s="89"/>
      <c r="G36" s="88"/>
      <c r="H36" s="88"/>
      <c r="I36" s="59"/>
      <c r="J36" s="88"/>
      <c r="K36" s="22"/>
    </row>
    <row r="37" spans="1:12">
      <c r="A37" s="76" t="s">
        <v>459</v>
      </c>
      <c r="B37" s="135" t="s">
        <v>55</v>
      </c>
      <c r="C37" s="80" t="s">
        <v>87</v>
      </c>
      <c r="D37" s="133">
        <v>14</v>
      </c>
      <c r="E37" s="196">
        <v>82.76</v>
      </c>
      <c r="F37" s="89">
        <f t="shared" ref="F37:F44" si="2">E37*D37</f>
        <v>1158.6400000000001</v>
      </c>
      <c r="G37" s="88"/>
      <c r="H37" s="88"/>
      <c r="I37" s="59"/>
      <c r="J37" s="88"/>
      <c r="K37" s="327"/>
      <c r="L37" s="53"/>
    </row>
    <row r="38" spans="1:12">
      <c r="A38" s="76" t="s">
        <v>460</v>
      </c>
      <c r="B38" s="135" t="s">
        <v>57</v>
      </c>
      <c r="C38" s="80" t="s">
        <v>87</v>
      </c>
      <c r="D38" s="133">
        <v>2</v>
      </c>
      <c r="E38" s="196">
        <v>76.12</v>
      </c>
      <c r="F38" s="89">
        <f t="shared" si="2"/>
        <v>152.24</v>
      </c>
      <c r="G38" s="88"/>
      <c r="H38" s="88"/>
      <c r="I38" s="59"/>
      <c r="J38" s="88"/>
      <c r="K38" s="22"/>
    </row>
    <row r="39" spans="1:12">
      <c r="A39" s="76" t="s">
        <v>461</v>
      </c>
      <c r="B39" s="135" t="s">
        <v>565</v>
      </c>
      <c r="C39" s="80" t="s">
        <v>87</v>
      </c>
      <c r="D39" s="133">
        <v>2</v>
      </c>
      <c r="E39" s="196">
        <v>93.63</v>
      </c>
      <c r="F39" s="89">
        <f t="shared" si="2"/>
        <v>187.26</v>
      </c>
      <c r="G39" s="88"/>
      <c r="H39" s="88"/>
      <c r="I39" s="59"/>
      <c r="J39" s="88"/>
      <c r="K39" s="22"/>
    </row>
    <row r="40" spans="1:12">
      <c r="A40" s="76" t="s">
        <v>462</v>
      </c>
      <c r="B40" s="135" t="s">
        <v>56</v>
      </c>
      <c r="C40" s="80" t="s">
        <v>87</v>
      </c>
      <c r="D40" s="133">
        <v>8</v>
      </c>
      <c r="E40" s="196">
        <v>74.56</v>
      </c>
      <c r="F40" s="89">
        <f t="shared" si="2"/>
        <v>596.48</v>
      </c>
      <c r="G40" s="88"/>
      <c r="H40" s="88"/>
      <c r="I40" s="59"/>
      <c r="J40" s="88"/>
      <c r="K40" s="22"/>
    </row>
    <row r="41" spans="1:12">
      <c r="A41" s="76" t="s">
        <v>463</v>
      </c>
      <c r="B41" s="135" t="s">
        <v>219</v>
      </c>
      <c r="C41" s="80" t="s">
        <v>87</v>
      </c>
      <c r="D41" s="133">
        <v>4</v>
      </c>
      <c r="E41" s="196">
        <f>76.73*0.166+42.44*0.37+45.49*0.464</f>
        <v>49.547340000000005</v>
      </c>
      <c r="F41" s="89">
        <f t="shared" si="2"/>
        <v>198.18936000000002</v>
      </c>
      <c r="G41" s="88"/>
      <c r="H41" s="88"/>
      <c r="I41" s="59"/>
      <c r="J41" s="88"/>
      <c r="K41" s="22"/>
    </row>
    <row r="42" spans="1:12">
      <c r="A42" s="76" t="s">
        <v>464</v>
      </c>
      <c r="B42" s="135" t="s">
        <v>222</v>
      </c>
      <c r="C42" s="80" t="s">
        <v>87</v>
      </c>
      <c r="D42" s="133">
        <v>12</v>
      </c>
      <c r="E42" s="196">
        <v>40.06</v>
      </c>
      <c r="F42" s="89">
        <f t="shared" si="2"/>
        <v>480.72</v>
      </c>
      <c r="G42" s="88"/>
      <c r="H42" s="88"/>
      <c r="I42" s="59"/>
      <c r="J42" s="88"/>
      <c r="K42" s="22"/>
    </row>
    <row r="43" spans="1:12">
      <c r="A43" s="76" t="s">
        <v>484</v>
      </c>
      <c r="B43" s="135" t="s">
        <v>58</v>
      </c>
      <c r="C43" s="80" t="s">
        <v>87</v>
      </c>
      <c r="D43" s="133">
        <v>2</v>
      </c>
      <c r="E43" s="196">
        <v>39.46</v>
      </c>
      <c r="F43" s="89">
        <f t="shared" si="2"/>
        <v>78.92</v>
      </c>
      <c r="G43" s="88"/>
      <c r="H43" s="88"/>
      <c r="I43" s="59"/>
      <c r="J43" s="88"/>
      <c r="K43" s="22"/>
    </row>
    <row r="44" spans="1:12">
      <c r="A44" s="321" t="s">
        <v>485</v>
      </c>
      <c r="B44" s="326" t="s">
        <v>220</v>
      </c>
      <c r="C44" s="324" t="s">
        <v>87</v>
      </c>
      <c r="D44" s="133">
        <v>9</v>
      </c>
      <c r="E44" s="196">
        <f>77.95*0.341+74.34*0.366+109.25*0.293</f>
        <v>85.799639999999997</v>
      </c>
      <c r="F44" s="89">
        <f t="shared" si="2"/>
        <v>772.19675999999993</v>
      </c>
      <c r="G44" s="323"/>
      <c r="H44" s="88"/>
      <c r="I44" s="59"/>
      <c r="J44" s="88"/>
      <c r="K44" s="22"/>
    </row>
    <row r="45" spans="1:12" ht="14.25">
      <c r="A45" s="84" t="s">
        <v>465</v>
      </c>
      <c r="B45" s="95" t="s">
        <v>223</v>
      </c>
      <c r="C45" s="80"/>
      <c r="D45" s="133"/>
      <c r="E45" s="196"/>
      <c r="F45" s="89"/>
      <c r="G45" s="88"/>
      <c r="H45" s="88"/>
      <c r="I45" s="59"/>
      <c r="J45" s="88"/>
      <c r="K45" s="22"/>
    </row>
    <row r="46" spans="1:12">
      <c r="A46" s="76" t="s">
        <v>486</v>
      </c>
      <c r="B46" s="62" t="s">
        <v>64</v>
      </c>
      <c r="C46" s="80" t="s">
        <v>87</v>
      </c>
      <c r="D46" s="133">
        <v>7</v>
      </c>
      <c r="E46" s="196">
        <v>45.51</v>
      </c>
      <c r="F46" s="89">
        <f>E46*D46</f>
        <v>318.57</v>
      </c>
      <c r="G46" s="88"/>
      <c r="H46" s="88"/>
      <c r="I46" s="59"/>
      <c r="J46" s="88"/>
      <c r="K46" s="22"/>
    </row>
    <row r="47" spans="1:12">
      <c r="A47" s="76" t="s">
        <v>487</v>
      </c>
      <c r="B47" s="62" t="s">
        <v>65</v>
      </c>
      <c r="C47" s="80" t="s">
        <v>87</v>
      </c>
      <c r="D47" s="133">
        <v>4</v>
      </c>
      <c r="E47" s="196">
        <v>58.09</v>
      </c>
      <c r="F47" s="89">
        <f>E47*D47</f>
        <v>232.36</v>
      </c>
      <c r="G47" s="88"/>
      <c r="H47" s="88"/>
      <c r="I47" s="59"/>
      <c r="J47" s="88"/>
      <c r="K47" s="22"/>
    </row>
    <row r="48" spans="1:12">
      <c r="A48" s="321" t="s">
        <v>488</v>
      </c>
      <c r="B48" s="317" t="s">
        <v>53</v>
      </c>
      <c r="C48" s="324" t="s">
        <v>87</v>
      </c>
      <c r="D48" s="133">
        <v>2</v>
      </c>
      <c r="E48" s="196">
        <f>45.51*0.312+65.09*0.492+58.09*0.196</f>
        <v>57.609040000000007</v>
      </c>
      <c r="F48" s="163">
        <f>E48*D48</f>
        <v>115.21808000000001</v>
      </c>
      <c r="G48" s="323"/>
      <c r="H48" s="88"/>
      <c r="I48" s="59"/>
      <c r="J48" s="88"/>
      <c r="K48" s="22"/>
    </row>
    <row r="49" spans="1:11" ht="14.25">
      <c r="A49" s="84" t="s">
        <v>466</v>
      </c>
      <c r="B49" s="95" t="s">
        <v>221</v>
      </c>
      <c r="C49" s="80"/>
      <c r="D49" s="133"/>
      <c r="E49" s="196"/>
      <c r="F49" s="89"/>
      <c r="G49" s="88"/>
      <c r="H49" s="88"/>
      <c r="I49" s="59"/>
      <c r="J49" s="88"/>
      <c r="K49" s="22"/>
    </row>
    <row r="50" spans="1:11">
      <c r="A50" s="76" t="s">
        <v>467</v>
      </c>
      <c r="B50" s="62" t="s">
        <v>59</v>
      </c>
      <c r="C50" s="80" t="s">
        <v>87</v>
      </c>
      <c r="D50" s="133">
        <v>60</v>
      </c>
      <c r="E50" s="196">
        <v>13.32</v>
      </c>
      <c r="F50" s="89">
        <f t="shared" ref="F50:F56" si="3">E50*D50</f>
        <v>799.2</v>
      </c>
      <c r="G50" s="88"/>
      <c r="H50" s="88"/>
      <c r="I50" s="59"/>
      <c r="J50" s="88"/>
      <c r="K50" s="22"/>
    </row>
    <row r="51" spans="1:11">
      <c r="A51" s="76" t="s">
        <v>468</v>
      </c>
      <c r="B51" s="62" t="s">
        <v>312</v>
      </c>
      <c r="C51" s="80" t="s">
        <v>87</v>
      </c>
      <c r="D51" s="133">
        <v>65</v>
      </c>
      <c r="E51" s="196">
        <v>13.32</v>
      </c>
      <c r="F51" s="89">
        <f t="shared" si="3"/>
        <v>865.80000000000007</v>
      </c>
      <c r="G51" s="88"/>
      <c r="H51" s="88"/>
      <c r="I51" s="59"/>
      <c r="J51" s="88"/>
      <c r="K51" s="22"/>
    </row>
    <row r="52" spans="1:11">
      <c r="A52" s="76" t="s">
        <v>489</v>
      </c>
      <c r="B52" s="62" t="s">
        <v>60</v>
      </c>
      <c r="C52" s="80" t="s">
        <v>87</v>
      </c>
      <c r="D52" s="133">
        <v>5</v>
      </c>
      <c r="E52" s="196">
        <v>117.2</v>
      </c>
      <c r="F52" s="89">
        <f t="shared" si="3"/>
        <v>586</v>
      </c>
      <c r="G52" s="88"/>
      <c r="H52" s="88"/>
      <c r="I52" s="59"/>
      <c r="J52" s="88"/>
      <c r="K52" s="22"/>
    </row>
    <row r="53" spans="1:11">
      <c r="A53" s="76" t="s">
        <v>490</v>
      </c>
      <c r="B53" s="62" t="s">
        <v>63</v>
      </c>
      <c r="C53" s="80" t="s">
        <v>87</v>
      </c>
      <c r="D53" s="134">
        <v>3.5</v>
      </c>
      <c r="E53" s="196">
        <v>120.68</v>
      </c>
      <c r="F53" s="89">
        <f t="shared" si="3"/>
        <v>422.38</v>
      </c>
      <c r="G53" s="88"/>
      <c r="H53" s="88"/>
      <c r="I53" s="59"/>
      <c r="J53" s="88"/>
      <c r="K53" s="22"/>
    </row>
    <row r="54" spans="1:11">
      <c r="A54" s="76" t="s">
        <v>491</v>
      </c>
      <c r="B54" s="62" t="s">
        <v>321</v>
      </c>
      <c r="C54" s="80" t="s">
        <v>87</v>
      </c>
      <c r="D54" s="133">
        <v>10</v>
      </c>
      <c r="E54" s="196">
        <v>66.02</v>
      </c>
      <c r="F54" s="89">
        <f t="shared" si="3"/>
        <v>660.19999999999993</v>
      </c>
      <c r="G54" s="88"/>
      <c r="H54" s="88"/>
      <c r="I54" s="59"/>
      <c r="J54" s="88"/>
      <c r="K54" s="22"/>
    </row>
    <row r="55" spans="1:11">
      <c r="A55" s="76" t="s">
        <v>492</v>
      </c>
      <c r="B55" s="62" t="s">
        <v>62</v>
      </c>
      <c r="C55" s="80" t="s">
        <v>87</v>
      </c>
      <c r="D55" s="133">
        <v>5</v>
      </c>
      <c r="E55" s="196">
        <v>38.33</v>
      </c>
      <c r="F55" s="89">
        <f t="shared" si="3"/>
        <v>191.64999999999998</v>
      </c>
      <c r="G55" s="88"/>
      <c r="H55" s="88"/>
      <c r="I55" s="59"/>
      <c r="J55" s="88"/>
      <c r="K55" s="22"/>
    </row>
    <row r="56" spans="1:11" ht="14.25">
      <c r="A56" s="124" t="s">
        <v>469</v>
      </c>
      <c r="B56" s="115" t="s">
        <v>351</v>
      </c>
      <c r="C56" s="131" t="s">
        <v>88</v>
      </c>
      <c r="D56" s="139">
        <v>220</v>
      </c>
      <c r="E56" s="332">
        <f>14.3/10</f>
        <v>1.4300000000000002</v>
      </c>
      <c r="F56" s="126">
        <f t="shared" si="3"/>
        <v>314.60000000000002</v>
      </c>
      <c r="G56" s="94"/>
      <c r="H56" s="88"/>
      <c r="I56" s="59"/>
      <c r="J56" s="88"/>
      <c r="K56" s="22"/>
    </row>
    <row r="57" spans="1:11" ht="14.25">
      <c r="A57" s="92" t="s">
        <v>374</v>
      </c>
      <c r="B57" s="59"/>
      <c r="C57" s="59"/>
      <c r="D57" s="59"/>
      <c r="E57" s="59"/>
      <c r="F57" s="412">
        <f>SUM(F9:F56)</f>
        <v>14440.955036440002</v>
      </c>
      <c r="G57" s="88"/>
      <c r="H57" s="198"/>
      <c r="I57" s="59"/>
      <c r="J57" s="331"/>
      <c r="K57" s="22"/>
    </row>
    <row r="58" spans="1:11" ht="14.25">
      <c r="A58" s="140" t="s">
        <v>375</v>
      </c>
      <c r="B58" s="101"/>
      <c r="C58" s="101"/>
      <c r="D58" s="101"/>
      <c r="E58" s="101"/>
      <c r="F58" s="413">
        <f>F57/12</f>
        <v>1203.4129197033335</v>
      </c>
      <c r="G58" s="72"/>
      <c r="H58" s="198"/>
      <c r="I58" s="59"/>
      <c r="J58" s="331"/>
      <c r="K58" s="327"/>
    </row>
    <row r="59" spans="1:11">
      <c r="G59" s="72"/>
      <c r="H59" s="72"/>
      <c r="I59" s="59"/>
      <c r="J59" s="59"/>
      <c r="K59" s="22"/>
    </row>
    <row r="60" spans="1:11">
      <c r="A60"/>
      <c r="G60"/>
      <c r="H60"/>
      <c r="I60"/>
      <c r="J60"/>
    </row>
    <row r="61" spans="1:11">
      <c r="A61"/>
      <c r="G61"/>
      <c r="H61"/>
      <c r="I61"/>
      <c r="J61"/>
    </row>
    <row r="62" spans="1:11">
      <c r="A62"/>
      <c r="G62"/>
      <c r="H62"/>
      <c r="I62"/>
      <c r="J62"/>
    </row>
    <row r="63" spans="1:11">
      <c r="A63"/>
      <c r="G63"/>
      <c r="H63"/>
      <c r="I63"/>
      <c r="J63"/>
    </row>
    <row r="64" spans="1:11">
      <c r="A64"/>
      <c r="G64"/>
      <c r="H64"/>
      <c r="I64"/>
      <c r="J64"/>
    </row>
    <row r="65" spans="1:10">
      <c r="A65"/>
      <c r="G65"/>
      <c r="H65"/>
      <c r="I65"/>
      <c r="J65"/>
    </row>
    <row r="66" spans="1:10">
      <c r="A66"/>
      <c r="G66"/>
      <c r="H66"/>
      <c r="I66"/>
      <c r="J66"/>
    </row>
    <row r="67" spans="1:10">
      <c r="A67"/>
      <c r="G67"/>
      <c r="H67"/>
      <c r="I67"/>
      <c r="J67"/>
    </row>
  </sheetData>
  <mergeCells count="1">
    <mergeCell ref="A1:F1"/>
  </mergeCells>
  <phoneticPr fontId="30" type="noConversion"/>
  <pageMargins left="1.26" right="0.24" top="0.35" bottom="0.6" header="0.37" footer="0.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topLeftCell="A4" zoomScale="80" workbookViewId="0">
      <selection activeCell="E55" sqref="E55"/>
    </sheetView>
  </sheetViews>
  <sheetFormatPr defaultRowHeight="12.75"/>
  <cols>
    <col min="1" max="1" width="6" style="51" customWidth="1"/>
    <col min="2" max="2" width="21.5703125" customWidth="1"/>
    <col min="3" max="3" width="7.85546875" customWidth="1"/>
    <col min="4" max="4" width="15.85546875" customWidth="1"/>
    <col min="5" max="5" width="12.28515625" customWidth="1"/>
    <col min="6" max="6" width="15.140625" customWidth="1"/>
    <col min="7" max="7" width="7.85546875" customWidth="1"/>
    <col min="8" max="31" width="4.7109375" customWidth="1"/>
  </cols>
  <sheetData>
    <row r="1" spans="1:11" ht="15.75">
      <c r="A1" s="401" t="s">
        <v>418</v>
      </c>
      <c r="B1" s="401"/>
      <c r="C1" s="401"/>
      <c r="D1" s="401"/>
      <c r="E1" s="401"/>
      <c r="F1" s="401"/>
      <c r="J1" s="22"/>
      <c r="K1" s="22"/>
    </row>
    <row r="2" spans="1:11" ht="15.75">
      <c r="A2" s="401" t="s">
        <v>419</v>
      </c>
      <c r="B2" s="401"/>
      <c r="C2" s="401"/>
      <c r="D2" s="401"/>
      <c r="E2" s="401"/>
      <c r="F2" s="401"/>
      <c r="J2" s="22"/>
      <c r="K2" s="22"/>
    </row>
    <row r="3" spans="1:11" ht="15.75">
      <c r="A3" s="127"/>
      <c r="B3" s="100"/>
      <c r="C3" s="128"/>
      <c r="D3" s="128"/>
      <c r="E3" s="128"/>
      <c r="F3" s="113"/>
      <c r="J3" s="22"/>
      <c r="K3" s="22"/>
    </row>
    <row r="4" spans="1:11">
      <c r="A4" s="107" t="s">
        <v>42</v>
      </c>
      <c r="B4" s="250" t="s">
        <v>99</v>
      </c>
      <c r="C4" s="108" t="s">
        <v>92</v>
      </c>
      <c r="D4" s="109" t="s">
        <v>97</v>
      </c>
      <c r="E4" s="109" t="s">
        <v>94</v>
      </c>
      <c r="F4" s="108" t="s">
        <v>107</v>
      </c>
      <c r="J4" s="22"/>
      <c r="K4" s="22"/>
    </row>
    <row r="5" spans="1:11">
      <c r="A5" s="248" t="s">
        <v>373</v>
      </c>
      <c r="B5" s="110" t="s">
        <v>304</v>
      </c>
      <c r="C5" s="106" t="s">
        <v>81</v>
      </c>
      <c r="D5" s="269" t="s">
        <v>627</v>
      </c>
      <c r="E5" s="269" t="s">
        <v>95</v>
      </c>
      <c r="F5" s="106" t="s">
        <v>105</v>
      </c>
      <c r="J5" s="22"/>
      <c r="K5" s="22"/>
    </row>
    <row r="6" spans="1:11" ht="13.5" customHeight="1">
      <c r="A6" s="251"/>
      <c r="B6" s="253"/>
      <c r="C6" s="106"/>
      <c r="D6" s="269" t="s">
        <v>628</v>
      </c>
      <c r="E6" s="269" t="s">
        <v>666</v>
      </c>
      <c r="F6" s="106"/>
      <c r="J6" s="22"/>
      <c r="K6" s="22"/>
    </row>
    <row r="7" spans="1:11" ht="11.25" customHeight="1">
      <c r="A7" s="251"/>
      <c r="B7" s="274"/>
      <c r="C7" s="269"/>
      <c r="D7" s="106"/>
      <c r="E7" s="269" t="s">
        <v>665</v>
      </c>
      <c r="F7" s="106"/>
      <c r="J7" s="22"/>
      <c r="K7" s="22"/>
    </row>
    <row r="8" spans="1:11" ht="9" customHeight="1">
      <c r="A8" s="251"/>
      <c r="B8" s="252"/>
      <c r="C8" s="269"/>
      <c r="D8" s="269"/>
      <c r="E8" s="269"/>
      <c r="F8" s="106"/>
      <c r="J8" s="22"/>
      <c r="K8" s="22"/>
    </row>
    <row r="9" spans="1:11">
      <c r="A9" s="255"/>
      <c r="B9" s="304"/>
      <c r="C9" s="305"/>
      <c r="D9" s="305"/>
      <c r="E9" s="305" t="s">
        <v>655</v>
      </c>
      <c r="F9" s="150" t="s">
        <v>655</v>
      </c>
      <c r="J9" s="22"/>
      <c r="K9" s="22"/>
    </row>
    <row r="10" spans="1:11">
      <c r="A10" s="107"/>
      <c r="B10" s="109"/>
      <c r="C10" s="109"/>
      <c r="D10" s="142"/>
      <c r="E10" s="109"/>
      <c r="F10" s="108"/>
      <c r="J10" s="22"/>
      <c r="K10" s="22"/>
    </row>
    <row r="11" spans="1:11" ht="14.25">
      <c r="A11" s="84">
        <v>1</v>
      </c>
      <c r="B11" s="95" t="s">
        <v>315</v>
      </c>
      <c r="C11" s="80"/>
      <c r="D11" s="75"/>
      <c r="E11" s="80"/>
      <c r="F11" s="75"/>
      <c r="J11" s="22"/>
      <c r="K11" s="22"/>
    </row>
    <row r="12" spans="1:11">
      <c r="A12" s="76" t="s">
        <v>424</v>
      </c>
      <c r="B12" s="62" t="s">
        <v>119</v>
      </c>
      <c r="C12" s="80" t="s">
        <v>87</v>
      </c>
      <c r="D12" s="75">
        <v>0.3</v>
      </c>
      <c r="E12" s="196">
        <v>10.01</v>
      </c>
      <c r="F12" s="89">
        <f t="shared" ref="F12:F24" si="0">E12*D12</f>
        <v>3.0029999999999997</v>
      </c>
      <c r="J12" s="22"/>
      <c r="K12" s="22"/>
    </row>
    <row r="13" spans="1:11">
      <c r="A13" s="76" t="s">
        <v>425</v>
      </c>
      <c r="B13" s="62" t="s">
        <v>120</v>
      </c>
      <c r="C13" s="80" t="s">
        <v>87</v>
      </c>
      <c r="D13" s="75">
        <v>8.8000000000000007</v>
      </c>
      <c r="E13" s="196">
        <v>9.1199999999999992</v>
      </c>
      <c r="F13" s="89">
        <f t="shared" si="0"/>
        <v>80.256</v>
      </c>
      <c r="J13" s="22"/>
      <c r="K13" s="22"/>
    </row>
    <row r="14" spans="1:11">
      <c r="A14" s="76" t="s">
        <v>426</v>
      </c>
      <c r="B14" s="62" t="s">
        <v>49</v>
      </c>
      <c r="C14" s="80" t="s">
        <v>87</v>
      </c>
      <c r="D14" s="93">
        <v>38</v>
      </c>
      <c r="E14" s="196">
        <v>11.74</v>
      </c>
      <c r="F14" s="89">
        <f t="shared" si="0"/>
        <v>446.12</v>
      </c>
      <c r="G14" s="53"/>
      <c r="J14" s="22"/>
      <c r="K14" s="22"/>
    </row>
    <row r="15" spans="1:11">
      <c r="A15" s="76" t="s">
        <v>427</v>
      </c>
      <c r="B15" s="62" t="s">
        <v>48</v>
      </c>
      <c r="C15" s="80" t="s">
        <v>87</v>
      </c>
      <c r="D15" s="93">
        <v>62</v>
      </c>
      <c r="E15" s="196">
        <v>12.52</v>
      </c>
      <c r="F15" s="89">
        <f t="shared" si="0"/>
        <v>776.24</v>
      </c>
      <c r="J15" s="22"/>
      <c r="K15" s="22"/>
    </row>
    <row r="16" spans="1:11">
      <c r="A16" s="76" t="s">
        <v>428</v>
      </c>
      <c r="B16" s="62" t="s">
        <v>50</v>
      </c>
      <c r="C16" s="80" t="s">
        <v>87</v>
      </c>
      <c r="D16" s="75">
        <v>4.0999999999999996</v>
      </c>
      <c r="E16" s="196">
        <v>15.53</v>
      </c>
      <c r="F16" s="89">
        <f t="shared" si="0"/>
        <v>63.672999999999995</v>
      </c>
      <c r="J16" s="22"/>
      <c r="K16" s="22"/>
    </row>
    <row r="17" spans="1:11">
      <c r="A17" s="76" t="s">
        <v>429</v>
      </c>
      <c r="B17" s="62" t="s">
        <v>47</v>
      </c>
      <c r="C17" s="80" t="s">
        <v>87</v>
      </c>
      <c r="D17" s="75">
        <v>2.2999999999999998</v>
      </c>
      <c r="E17" s="196">
        <v>21.56</v>
      </c>
      <c r="F17" s="89">
        <f t="shared" si="0"/>
        <v>49.587999999999994</v>
      </c>
      <c r="J17" s="22"/>
      <c r="K17" s="22"/>
    </row>
    <row r="18" spans="1:11">
      <c r="A18" s="76" t="s">
        <v>430</v>
      </c>
      <c r="B18" s="62" t="s">
        <v>121</v>
      </c>
      <c r="C18" s="80" t="s">
        <v>87</v>
      </c>
      <c r="D18" s="75">
        <v>0.9</v>
      </c>
      <c r="E18" s="196">
        <v>10.62</v>
      </c>
      <c r="F18" s="89">
        <f t="shared" si="0"/>
        <v>9.5579999999999998</v>
      </c>
      <c r="J18" s="22"/>
      <c r="K18" s="22"/>
    </row>
    <row r="19" spans="1:11">
      <c r="A19" s="76" t="s">
        <v>431</v>
      </c>
      <c r="B19" s="62" t="s">
        <v>122</v>
      </c>
      <c r="C19" s="80" t="s">
        <v>87</v>
      </c>
      <c r="D19" s="75">
        <v>0.9</v>
      </c>
      <c r="E19" s="196">
        <v>10.9</v>
      </c>
      <c r="F19" s="89">
        <f t="shared" si="0"/>
        <v>9.81</v>
      </c>
      <c r="J19" s="22"/>
      <c r="K19" s="22"/>
    </row>
    <row r="20" spans="1:11">
      <c r="A20" s="76" t="s">
        <v>432</v>
      </c>
      <c r="B20" s="62" t="s">
        <v>123</v>
      </c>
      <c r="C20" s="80" t="s">
        <v>87</v>
      </c>
      <c r="D20" s="93">
        <v>2</v>
      </c>
      <c r="E20" s="196">
        <v>42.35</v>
      </c>
      <c r="F20" s="89">
        <f t="shared" si="0"/>
        <v>84.7</v>
      </c>
      <c r="J20" s="22"/>
      <c r="K20" s="22"/>
    </row>
    <row r="21" spans="1:11">
      <c r="A21" s="76" t="s">
        <v>433</v>
      </c>
      <c r="B21" s="62" t="s">
        <v>124</v>
      </c>
      <c r="C21" s="80" t="s">
        <v>87</v>
      </c>
      <c r="D21" s="75">
        <v>1.1000000000000001</v>
      </c>
      <c r="E21" s="196">
        <v>22.83</v>
      </c>
      <c r="F21" s="89">
        <f t="shared" si="0"/>
        <v>25.113</v>
      </c>
      <c r="J21" s="22"/>
      <c r="K21" s="22"/>
    </row>
    <row r="22" spans="1:11">
      <c r="A22" s="76" t="s">
        <v>434</v>
      </c>
      <c r="B22" s="62" t="s">
        <v>46</v>
      </c>
      <c r="C22" s="80" t="s">
        <v>87</v>
      </c>
      <c r="D22" s="75">
        <v>1.9</v>
      </c>
      <c r="E22" s="196">
        <v>14.97</v>
      </c>
      <c r="F22" s="89">
        <f t="shared" si="0"/>
        <v>28.443000000000001</v>
      </c>
      <c r="J22" s="22"/>
      <c r="K22" s="22"/>
    </row>
    <row r="23" spans="1:11">
      <c r="A23" s="76" t="s">
        <v>493</v>
      </c>
      <c r="B23" s="81" t="s">
        <v>53</v>
      </c>
      <c r="C23" s="80" t="s">
        <v>87</v>
      </c>
      <c r="D23" s="75">
        <v>0.6</v>
      </c>
      <c r="E23" s="196">
        <v>8.7100000000000009</v>
      </c>
      <c r="F23" s="89">
        <f t="shared" si="0"/>
        <v>5.226</v>
      </c>
      <c r="J23" s="22"/>
      <c r="K23" s="22"/>
    </row>
    <row r="24" spans="1:11" ht="14.25">
      <c r="A24" s="84" t="s">
        <v>435</v>
      </c>
      <c r="B24" s="95" t="s">
        <v>43</v>
      </c>
      <c r="C24" s="80" t="s">
        <v>87</v>
      </c>
      <c r="D24" s="93">
        <v>108</v>
      </c>
      <c r="E24" s="196">
        <v>5.71</v>
      </c>
      <c r="F24" s="89">
        <f t="shared" si="0"/>
        <v>616.67999999999995</v>
      </c>
      <c r="J24" s="22"/>
      <c r="K24" s="22"/>
    </row>
    <row r="25" spans="1:11" ht="14.25">
      <c r="A25" s="84" t="s">
        <v>436</v>
      </c>
      <c r="B25" s="95" t="s">
        <v>561</v>
      </c>
      <c r="C25" s="80"/>
      <c r="D25" s="75"/>
      <c r="E25" s="362"/>
      <c r="F25" s="75"/>
      <c r="J25" s="22"/>
      <c r="K25" s="22"/>
    </row>
    <row r="26" spans="1:11">
      <c r="A26" s="76" t="s">
        <v>478</v>
      </c>
      <c r="B26" s="62" t="s">
        <v>52</v>
      </c>
      <c r="C26" s="80" t="s">
        <v>87</v>
      </c>
      <c r="D26" s="75">
        <v>27.5</v>
      </c>
      <c r="E26" s="362">
        <v>2.89</v>
      </c>
      <c r="F26" s="89">
        <f t="shared" ref="F26:F31" si="1">E26*D26</f>
        <v>79.475000000000009</v>
      </c>
      <c r="J26" s="22"/>
      <c r="K26" s="22"/>
    </row>
    <row r="27" spans="1:11">
      <c r="A27" s="76" t="s">
        <v>479</v>
      </c>
      <c r="B27" s="62" t="s">
        <v>562</v>
      </c>
      <c r="C27" s="80" t="s">
        <v>87</v>
      </c>
      <c r="D27" s="93">
        <v>22</v>
      </c>
      <c r="E27" s="362">
        <f>19.19*0.563+10.57*0.437</f>
        <v>15.42306</v>
      </c>
      <c r="F27" s="89">
        <f t="shared" si="1"/>
        <v>339.30732</v>
      </c>
      <c r="J27" s="22"/>
      <c r="K27" s="22"/>
    </row>
    <row r="28" spans="1:11">
      <c r="A28" s="76" t="s">
        <v>480</v>
      </c>
      <c r="B28" s="62" t="s">
        <v>563</v>
      </c>
      <c r="C28" s="80" t="s">
        <v>87</v>
      </c>
      <c r="D28" s="93">
        <v>16</v>
      </c>
      <c r="E28" s="196">
        <f>(7.08+5.53)/2</f>
        <v>6.3049999999999997</v>
      </c>
      <c r="F28" s="89">
        <f t="shared" si="1"/>
        <v>100.88</v>
      </c>
      <c r="J28" s="22"/>
      <c r="K28" s="22"/>
    </row>
    <row r="29" spans="1:11">
      <c r="A29" s="76" t="s">
        <v>481</v>
      </c>
      <c r="B29" s="62" t="s">
        <v>125</v>
      </c>
      <c r="C29" s="80" t="s">
        <v>87</v>
      </c>
      <c r="D29" s="93">
        <v>8</v>
      </c>
      <c r="E29" s="196">
        <f>5.93*0.937+84.89*0.063</f>
        <v>10.90448</v>
      </c>
      <c r="F29" s="89">
        <f t="shared" si="1"/>
        <v>87.235839999999996</v>
      </c>
      <c r="J29" s="22"/>
      <c r="K29" s="22"/>
    </row>
    <row r="30" spans="1:11">
      <c r="A30" s="76" t="s">
        <v>482</v>
      </c>
      <c r="B30" s="62" t="s">
        <v>51</v>
      </c>
      <c r="C30" s="80" t="s">
        <v>87</v>
      </c>
      <c r="D30" s="125">
        <v>14.5</v>
      </c>
      <c r="E30" s="196">
        <v>11.31</v>
      </c>
      <c r="F30" s="89">
        <f t="shared" si="1"/>
        <v>163.995</v>
      </c>
      <c r="J30" s="22"/>
      <c r="K30" s="22"/>
    </row>
    <row r="31" spans="1:11">
      <c r="A31" s="76" t="s">
        <v>483</v>
      </c>
      <c r="B31" s="62" t="s">
        <v>53</v>
      </c>
      <c r="C31" s="80" t="s">
        <v>87</v>
      </c>
      <c r="D31" s="93">
        <v>10</v>
      </c>
      <c r="E31" s="196">
        <f>E26*0.222+E27*0.394+E28*0.164+E29*0.163+E30*0.057</f>
        <v>10.174385879999999</v>
      </c>
      <c r="F31" s="89">
        <f t="shared" si="1"/>
        <v>101.7438588</v>
      </c>
      <c r="J31" s="22"/>
      <c r="K31" s="22"/>
    </row>
    <row r="32" spans="1:11" ht="14.25">
      <c r="A32" s="84" t="s">
        <v>437</v>
      </c>
      <c r="B32" s="95" t="s">
        <v>66</v>
      </c>
      <c r="C32" s="80"/>
      <c r="D32" s="75"/>
      <c r="E32" s="196"/>
      <c r="F32" s="89"/>
      <c r="J32" s="22"/>
      <c r="K32" s="22"/>
    </row>
    <row r="33" spans="1:11">
      <c r="A33" s="76" t="s">
        <v>438</v>
      </c>
      <c r="B33" s="62" t="s">
        <v>564</v>
      </c>
      <c r="C33" s="80" t="s">
        <v>87</v>
      </c>
      <c r="D33" s="93">
        <v>31</v>
      </c>
      <c r="E33" s="196">
        <f>14.06*0.505+33.34*0.2+14.06*0.204+81.26*0.091</f>
        <v>24.031200000000005</v>
      </c>
      <c r="F33" s="89">
        <f>E33*D33</f>
        <v>744.96720000000016</v>
      </c>
      <c r="J33" s="22"/>
      <c r="K33" s="22"/>
    </row>
    <row r="34" spans="1:11">
      <c r="A34" s="76" t="s">
        <v>439</v>
      </c>
      <c r="B34" s="62" t="s">
        <v>54</v>
      </c>
      <c r="C34" s="80" t="s">
        <v>87</v>
      </c>
      <c r="D34" s="125">
        <v>1.8</v>
      </c>
      <c r="E34" s="196">
        <v>111.11</v>
      </c>
      <c r="F34" s="89">
        <f>E34*D34</f>
        <v>199.99799999999999</v>
      </c>
      <c r="J34" s="22"/>
      <c r="K34" s="22"/>
    </row>
    <row r="35" spans="1:11" ht="14.25">
      <c r="A35" s="84" t="s">
        <v>445</v>
      </c>
      <c r="B35" s="95" t="s">
        <v>350</v>
      </c>
      <c r="C35" s="324" t="s">
        <v>87</v>
      </c>
      <c r="D35" s="75">
        <v>22.5</v>
      </c>
      <c r="E35" s="196">
        <f>17.2*0.548+40.81*0.358+51.19*0.094</f>
        <v>28.847440000000002</v>
      </c>
      <c r="F35" s="89">
        <f>E35*D35</f>
        <v>649.06740000000002</v>
      </c>
      <c r="J35" s="22"/>
      <c r="K35" s="22"/>
    </row>
    <row r="36" spans="1:11" ht="14.25">
      <c r="A36" s="84" t="s">
        <v>452</v>
      </c>
      <c r="B36" s="95" t="s">
        <v>68</v>
      </c>
      <c r="C36" s="80" t="s">
        <v>87</v>
      </c>
      <c r="D36" s="75">
        <v>6.7</v>
      </c>
      <c r="E36" s="196">
        <v>32.380000000000003</v>
      </c>
      <c r="F36" s="89">
        <f>E36*D36</f>
        <v>216.94600000000003</v>
      </c>
      <c r="J36" s="22"/>
      <c r="K36" s="22"/>
    </row>
    <row r="37" spans="1:11" ht="14.25">
      <c r="A37" s="84" t="s">
        <v>453</v>
      </c>
      <c r="B37" s="95" t="s">
        <v>67</v>
      </c>
      <c r="C37" s="80" t="s">
        <v>87</v>
      </c>
      <c r="D37" s="75">
        <v>1.5</v>
      </c>
      <c r="E37" s="196">
        <v>44.15</v>
      </c>
      <c r="F37" s="89">
        <f>E37*D37</f>
        <v>66.224999999999994</v>
      </c>
      <c r="J37" s="22"/>
      <c r="K37" s="22"/>
    </row>
    <row r="38" spans="1:11" ht="14.25">
      <c r="A38" s="84" t="s">
        <v>458</v>
      </c>
      <c r="B38" s="95" t="s">
        <v>45</v>
      </c>
      <c r="C38" s="80"/>
      <c r="D38" s="75"/>
      <c r="E38" s="196"/>
      <c r="F38" s="75"/>
      <c r="J38" s="22"/>
      <c r="K38" s="22"/>
    </row>
    <row r="39" spans="1:11">
      <c r="A39" s="76" t="s">
        <v>459</v>
      </c>
      <c r="B39" s="62" t="s">
        <v>55</v>
      </c>
      <c r="C39" s="80" t="s">
        <v>87</v>
      </c>
      <c r="D39" s="93">
        <v>12</v>
      </c>
      <c r="E39" s="196">
        <v>82.76</v>
      </c>
      <c r="F39" s="89">
        <f t="shared" ref="F39:F45" si="2">E39*D39</f>
        <v>993.12000000000012</v>
      </c>
      <c r="J39" s="327"/>
      <c r="K39" s="22"/>
    </row>
    <row r="40" spans="1:11">
      <c r="A40" s="76" t="s">
        <v>460</v>
      </c>
      <c r="B40" s="62" t="s">
        <v>57</v>
      </c>
      <c r="C40" s="80" t="s">
        <v>87</v>
      </c>
      <c r="D40" s="125">
        <v>0.9</v>
      </c>
      <c r="E40" s="196">
        <v>76.12</v>
      </c>
      <c r="F40" s="89">
        <f t="shared" si="2"/>
        <v>68.50800000000001</v>
      </c>
      <c r="J40" s="22"/>
      <c r="K40" s="22"/>
    </row>
    <row r="41" spans="1:11">
      <c r="A41" s="76" t="s">
        <v>461</v>
      </c>
      <c r="B41" s="62" t="s">
        <v>56</v>
      </c>
      <c r="C41" s="80" t="s">
        <v>87</v>
      </c>
      <c r="D41" s="125">
        <v>9.5</v>
      </c>
      <c r="E41" s="196">
        <v>74.56</v>
      </c>
      <c r="F41" s="89">
        <f t="shared" si="2"/>
        <v>708.32</v>
      </c>
      <c r="J41" s="22"/>
      <c r="K41" s="22"/>
    </row>
    <row r="42" spans="1:11">
      <c r="A42" s="76" t="s">
        <v>462</v>
      </c>
      <c r="B42" s="62" t="s">
        <v>126</v>
      </c>
      <c r="C42" s="80" t="s">
        <v>87</v>
      </c>
      <c r="D42" s="93">
        <v>2</v>
      </c>
      <c r="E42" s="196">
        <f>76.73*0.166+42.44*0.37+45.49*0.464</f>
        <v>49.547340000000005</v>
      </c>
      <c r="F42" s="89">
        <f t="shared" si="2"/>
        <v>99.094680000000011</v>
      </c>
      <c r="J42" s="22"/>
      <c r="K42" s="22"/>
    </row>
    <row r="43" spans="1:11">
      <c r="A43" s="76" t="s">
        <v>463</v>
      </c>
      <c r="B43" s="62" t="s">
        <v>222</v>
      </c>
      <c r="C43" s="80" t="s">
        <v>87</v>
      </c>
      <c r="D43" s="93">
        <v>5</v>
      </c>
      <c r="E43" s="196">
        <v>40.06</v>
      </c>
      <c r="F43" s="89">
        <f t="shared" si="2"/>
        <v>200.3</v>
      </c>
      <c r="J43" s="22"/>
      <c r="K43" s="22"/>
    </row>
    <row r="44" spans="1:11">
      <c r="A44" s="76" t="s">
        <v>464</v>
      </c>
      <c r="B44" s="62" t="s">
        <v>58</v>
      </c>
      <c r="C44" s="80" t="s">
        <v>87</v>
      </c>
      <c r="D44" s="93">
        <v>2</v>
      </c>
      <c r="E44" s="196">
        <v>39.46</v>
      </c>
      <c r="F44" s="89">
        <f t="shared" si="2"/>
        <v>78.92</v>
      </c>
      <c r="J44" s="22"/>
      <c r="K44" s="22"/>
    </row>
    <row r="45" spans="1:11">
      <c r="A45" s="76" t="s">
        <v>484</v>
      </c>
      <c r="B45" s="62" t="s">
        <v>220</v>
      </c>
      <c r="C45" s="80" t="s">
        <v>87</v>
      </c>
      <c r="D45" s="125">
        <v>6.6</v>
      </c>
      <c r="E45" s="196">
        <f>77.95*0.341+74.34*0.366+109.25*0.293</f>
        <v>85.799639999999997</v>
      </c>
      <c r="F45" s="89">
        <f t="shared" si="2"/>
        <v>566.27762399999995</v>
      </c>
      <c r="J45" s="22"/>
      <c r="K45" s="22"/>
    </row>
    <row r="46" spans="1:11" ht="14.25">
      <c r="A46" s="84" t="s">
        <v>465</v>
      </c>
      <c r="B46" s="95" t="s">
        <v>223</v>
      </c>
      <c r="C46" s="80"/>
      <c r="D46" s="75"/>
      <c r="E46" s="196"/>
      <c r="F46" s="89"/>
      <c r="J46" s="22"/>
      <c r="K46" s="22"/>
    </row>
    <row r="47" spans="1:11">
      <c r="A47" s="76" t="s">
        <v>486</v>
      </c>
      <c r="B47" s="62" t="s">
        <v>64</v>
      </c>
      <c r="C47" s="80" t="s">
        <v>87</v>
      </c>
      <c r="D47" s="75">
        <v>2.5</v>
      </c>
      <c r="E47" s="196">
        <v>45.51</v>
      </c>
      <c r="F47" s="89">
        <f>E47*D47</f>
        <v>113.77499999999999</v>
      </c>
      <c r="J47" s="22"/>
      <c r="K47" s="22"/>
    </row>
    <row r="48" spans="1:11">
      <c r="A48" s="76" t="s">
        <v>487</v>
      </c>
      <c r="B48" s="62" t="s">
        <v>65</v>
      </c>
      <c r="C48" s="80" t="s">
        <v>87</v>
      </c>
      <c r="D48" s="75">
        <v>0.7</v>
      </c>
      <c r="E48" s="196">
        <v>58.09</v>
      </c>
      <c r="F48" s="89">
        <f>E48*D48</f>
        <v>40.662999999999997</v>
      </c>
      <c r="J48" s="22"/>
      <c r="K48" s="22"/>
    </row>
    <row r="49" spans="1:11" ht="14.25">
      <c r="A49" s="84" t="s">
        <v>466</v>
      </c>
      <c r="B49" s="95" t="s">
        <v>221</v>
      </c>
      <c r="C49" s="80"/>
      <c r="D49" s="75"/>
      <c r="E49" s="196"/>
      <c r="F49" s="75"/>
      <c r="J49" s="22"/>
      <c r="K49" s="22"/>
    </row>
    <row r="50" spans="1:11">
      <c r="A50" s="76" t="s">
        <v>467</v>
      </c>
      <c r="B50" s="62" t="s">
        <v>59</v>
      </c>
      <c r="C50" s="80" t="s">
        <v>87</v>
      </c>
      <c r="D50" s="93">
        <v>83</v>
      </c>
      <c r="E50" s="196">
        <v>13.32</v>
      </c>
      <c r="F50" s="89">
        <f t="shared" ref="F50:F55" si="3">E50*D50</f>
        <v>1105.56</v>
      </c>
      <c r="J50" s="22"/>
      <c r="K50" s="22"/>
    </row>
    <row r="51" spans="1:11">
      <c r="A51" s="76" t="s">
        <v>468</v>
      </c>
      <c r="B51" s="62" t="s">
        <v>224</v>
      </c>
      <c r="C51" s="80" t="s">
        <v>87</v>
      </c>
      <c r="D51" s="93">
        <v>22</v>
      </c>
      <c r="E51" s="362">
        <f>13.32*0.018+16.62*0.982</f>
        <v>16.560600000000001</v>
      </c>
      <c r="F51" s="89">
        <f t="shared" si="3"/>
        <v>364.33320000000003</v>
      </c>
      <c r="J51" s="22"/>
      <c r="K51" s="22"/>
    </row>
    <row r="52" spans="1:11">
      <c r="A52" s="76" t="s">
        <v>489</v>
      </c>
      <c r="B52" s="62" t="s">
        <v>60</v>
      </c>
      <c r="C52" s="80" t="s">
        <v>87</v>
      </c>
      <c r="D52" s="75">
        <v>3.9</v>
      </c>
      <c r="E52" s="196">
        <v>117.2</v>
      </c>
      <c r="F52" s="89">
        <f t="shared" si="3"/>
        <v>457.08</v>
      </c>
      <c r="J52" s="22"/>
      <c r="K52" s="22"/>
    </row>
    <row r="53" spans="1:11">
      <c r="A53" s="76" t="s">
        <v>490</v>
      </c>
      <c r="B53" s="62" t="s">
        <v>321</v>
      </c>
      <c r="C53" s="80" t="s">
        <v>87</v>
      </c>
      <c r="D53" s="75">
        <v>7.6</v>
      </c>
      <c r="E53" s="196">
        <v>66.02</v>
      </c>
      <c r="F53" s="89">
        <f t="shared" si="3"/>
        <v>501.75199999999995</v>
      </c>
      <c r="J53" s="22"/>
      <c r="K53" s="22"/>
    </row>
    <row r="54" spans="1:11">
      <c r="A54" s="76" t="s">
        <v>491</v>
      </c>
      <c r="B54" s="62" t="s">
        <v>62</v>
      </c>
      <c r="C54" s="80" t="s">
        <v>87</v>
      </c>
      <c r="D54" s="93">
        <v>4</v>
      </c>
      <c r="E54" s="196">
        <v>38.33</v>
      </c>
      <c r="F54" s="89">
        <f t="shared" si="3"/>
        <v>153.32</v>
      </c>
      <c r="J54" s="22"/>
      <c r="K54" s="22"/>
    </row>
    <row r="55" spans="1:11" ht="14.25">
      <c r="A55" s="84" t="s">
        <v>469</v>
      </c>
      <c r="B55" s="95" t="s">
        <v>351</v>
      </c>
      <c r="C55" s="80" t="s">
        <v>88</v>
      </c>
      <c r="D55" s="132">
        <v>187.5</v>
      </c>
      <c r="E55" s="263">
        <f>14.3/10</f>
        <v>1.4300000000000002</v>
      </c>
      <c r="F55" s="89">
        <f t="shared" si="3"/>
        <v>268.12500000000006</v>
      </c>
      <c r="J55" s="22"/>
      <c r="K55" s="22"/>
    </row>
    <row r="56" spans="1:11" ht="14.25">
      <c r="A56" s="143" t="s">
        <v>374</v>
      </c>
      <c r="B56" s="67"/>
      <c r="C56" s="67"/>
      <c r="D56" s="67"/>
      <c r="E56" s="67"/>
      <c r="F56" s="334">
        <f>SUM(F12:F55)</f>
        <v>10667.3991228</v>
      </c>
      <c r="J56" s="22"/>
      <c r="K56" s="22"/>
    </row>
    <row r="57" spans="1:11" ht="14.25">
      <c r="A57" s="124" t="s">
        <v>375</v>
      </c>
      <c r="B57" s="101"/>
      <c r="C57" s="101"/>
      <c r="D57" s="101"/>
      <c r="E57" s="101"/>
      <c r="F57" s="333">
        <f>F56/12</f>
        <v>888.94992689999992</v>
      </c>
      <c r="J57" s="327"/>
      <c r="K57" s="22"/>
    </row>
    <row r="58" spans="1:11">
      <c r="J58" s="22"/>
      <c r="K58" s="22"/>
    </row>
    <row r="59" spans="1:11">
      <c r="J59" s="22"/>
      <c r="K59" s="22"/>
    </row>
    <row r="60" spans="1:11">
      <c r="A60"/>
    </row>
    <row r="61" spans="1:11">
      <c r="A61"/>
    </row>
    <row r="62" spans="1:11">
      <c r="A62"/>
    </row>
    <row r="63" spans="1:11">
      <c r="A63"/>
    </row>
  </sheetData>
  <mergeCells count="2">
    <mergeCell ref="A1:F1"/>
    <mergeCell ref="A2:F2"/>
  </mergeCells>
  <phoneticPr fontId="30" type="noConversion"/>
  <pageMargins left="0.85" right="0.25" top="0.36" bottom="0.65" header="0.76" footer="0.72"/>
  <pageSetup paperSize="9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83"/>
  <sheetViews>
    <sheetView topLeftCell="A40" zoomScale="75" workbookViewId="0">
      <selection activeCell="F82" sqref="F82:F83"/>
    </sheetView>
  </sheetViews>
  <sheetFormatPr defaultRowHeight="12.75"/>
  <cols>
    <col min="1" max="1" width="5.85546875" style="51" customWidth="1"/>
    <col min="2" max="2" width="33.5703125" customWidth="1"/>
    <col min="3" max="3" width="12.42578125" style="25" customWidth="1"/>
    <col min="4" max="4" width="13.28515625" style="37" customWidth="1"/>
    <col min="5" max="5" width="12.140625" style="37" customWidth="1"/>
    <col min="6" max="6" width="16" style="37" customWidth="1"/>
    <col min="8" max="8" width="8" customWidth="1"/>
    <col min="9" max="9" width="7" customWidth="1"/>
    <col min="10" max="10" width="8" style="5" customWidth="1"/>
    <col min="11" max="11" width="10.42578125" style="5" customWidth="1"/>
    <col min="12" max="12" width="12" style="5" customWidth="1"/>
    <col min="13" max="13" width="12.140625" style="5" customWidth="1"/>
    <col min="14" max="15" width="10.140625" style="5" customWidth="1"/>
    <col min="16" max="16" width="6.140625" customWidth="1"/>
    <col min="17" max="17" width="27.5703125" customWidth="1"/>
    <col min="18" max="18" width="11.85546875" customWidth="1"/>
    <col min="19" max="19" width="11.28515625" customWidth="1"/>
    <col min="20" max="20" width="8.28515625" customWidth="1"/>
    <col min="21" max="21" width="8.7109375" customWidth="1"/>
    <col min="22" max="22" width="9" customWidth="1"/>
    <col min="23" max="23" width="8.42578125" customWidth="1"/>
    <col min="24" max="24" width="8.7109375" customWidth="1"/>
    <col min="25" max="26" width="10.42578125" customWidth="1"/>
    <col min="29" max="29" width="4.5703125" customWidth="1"/>
    <col min="30" max="30" width="32" customWidth="1"/>
    <col min="32" max="39" width="9.140625" style="5"/>
  </cols>
  <sheetData>
    <row r="1" spans="1:15" ht="15.75">
      <c r="A1" s="401" t="s">
        <v>209</v>
      </c>
      <c r="B1" s="401"/>
      <c r="C1" s="401"/>
      <c r="D1" s="401"/>
      <c r="E1" s="401"/>
      <c r="F1" s="401"/>
    </row>
    <row r="2" spans="1:15" ht="15.75">
      <c r="A2" s="401" t="s">
        <v>130</v>
      </c>
      <c r="B2" s="401"/>
      <c r="C2" s="401"/>
      <c r="D2" s="401"/>
      <c r="E2" s="401"/>
      <c r="F2" s="401"/>
    </row>
    <row r="3" spans="1:15" ht="14.25">
      <c r="A3" s="144"/>
      <c r="B3" s="95"/>
      <c r="C3" s="145"/>
      <c r="D3" s="145"/>
      <c r="E3" s="145"/>
      <c r="F3" s="145"/>
      <c r="O3" s="4"/>
    </row>
    <row r="4" spans="1:15">
      <c r="A4" s="146"/>
      <c r="B4" s="108" t="s">
        <v>102</v>
      </c>
      <c r="C4" s="147" t="s">
        <v>103</v>
      </c>
      <c r="D4" s="108" t="s">
        <v>104</v>
      </c>
      <c r="E4" s="108" t="s">
        <v>94</v>
      </c>
      <c r="F4" s="108" t="s">
        <v>106</v>
      </c>
      <c r="O4" s="26"/>
    </row>
    <row r="5" spans="1:15">
      <c r="A5" s="148" t="s">
        <v>8</v>
      </c>
      <c r="B5" s="106"/>
      <c r="C5" s="110" t="s">
        <v>81</v>
      </c>
      <c r="D5" s="106" t="s">
        <v>105</v>
      </c>
      <c r="E5" s="106" t="s">
        <v>95</v>
      </c>
      <c r="F5" s="106" t="s">
        <v>105</v>
      </c>
      <c r="O5" s="26"/>
    </row>
    <row r="6" spans="1:15">
      <c r="A6" s="148" t="s">
        <v>373</v>
      </c>
      <c r="B6" s="106"/>
      <c r="C6" s="110"/>
      <c r="D6" s="106"/>
      <c r="E6" s="106" t="s">
        <v>666</v>
      </c>
      <c r="F6" s="106"/>
      <c r="O6" s="26"/>
    </row>
    <row r="7" spans="1:15">
      <c r="A7" s="148"/>
      <c r="B7" s="106"/>
      <c r="C7" s="110"/>
      <c r="D7" s="106" t="s">
        <v>354</v>
      </c>
      <c r="E7" s="106" t="s">
        <v>665</v>
      </c>
      <c r="F7" s="106"/>
      <c r="O7" s="26"/>
    </row>
    <row r="8" spans="1:15">
      <c r="A8" s="149"/>
      <c r="B8" s="150"/>
      <c r="C8" s="151"/>
      <c r="D8" s="301">
        <v>2.58</v>
      </c>
      <c r="E8" s="305" t="s">
        <v>655</v>
      </c>
      <c r="F8" s="150" t="s">
        <v>655</v>
      </c>
      <c r="O8" s="26"/>
    </row>
    <row r="9" spans="1:15" s="5" customFormat="1">
      <c r="A9" s="107"/>
      <c r="B9" s="108"/>
      <c r="C9" s="147"/>
      <c r="D9" s="108"/>
      <c r="E9" s="108"/>
      <c r="F9" s="108"/>
      <c r="O9" s="4"/>
    </row>
    <row r="10" spans="1:15" ht="15">
      <c r="A10" s="84">
        <v>1</v>
      </c>
      <c r="B10" s="120" t="s">
        <v>79</v>
      </c>
      <c r="C10" s="152"/>
      <c r="D10" s="153"/>
      <c r="E10" s="121"/>
      <c r="F10" s="154">
        <f>F11+F12+F13+F14+F15+F16+F17+F18+F19</f>
        <v>387.40891472868219</v>
      </c>
      <c r="O10" s="32"/>
    </row>
    <row r="11" spans="1:15">
      <c r="A11" s="76" t="s">
        <v>424</v>
      </c>
      <c r="B11" s="81" t="s">
        <v>330</v>
      </c>
      <c r="C11" s="155" t="s">
        <v>88</v>
      </c>
      <c r="D11" s="156">
        <f>3/10/$D$8</f>
        <v>0.11627906976744186</v>
      </c>
      <c r="E11" s="89">
        <v>518.47</v>
      </c>
      <c r="F11" s="89">
        <f t="shared" ref="F11:F19" si="0">E11*D11</f>
        <v>60.287209302325586</v>
      </c>
      <c r="O11" s="4"/>
    </row>
    <row r="12" spans="1:15">
      <c r="A12" s="76" t="s">
        <v>425</v>
      </c>
      <c r="B12" s="81" t="s">
        <v>31</v>
      </c>
      <c r="C12" s="155" t="s">
        <v>88</v>
      </c>
      <c r="D12" s="156">
        <f>3/15/$D$8</f>
        <v>7.7519379844961239E-2</v>
      </c>
      <c r="E12" s="89">
        <v>142.25</v>
      </c>
      <c r="F12" s="89">
        <f t="shared" si="0"/>
        <v>11.027131782945736</v>
      </c>
      <c r="O12" s="4"/>
    </row>
    <row r="13" spans="1:15">
      <c r="A13" s="76" t="s">
        <v>426</v>
      </c>
      <c r="B13" s="81" t="s">
        <v>117</v>
      </c>
      <c r="C13" s="155" t="s">
        <v>88</v>
      </c>
      <c r="D13" s="156">
        <f>3/8/$D$8</f>
        <v>0.14534883720930233</v>
      </c>
      <c r="E13" s="89">
        <v>518.47</v>
      </c>
      <c r="F13" s="89">
        <f t="shared" si="0"/>
        <v>75.35901162790698</v>
      </c>
      <c r="O13" s="4"/>
    </row>
    <row r="14" spans="1:15">
      <c r="A14" s="76" t="s">
        <v>427</v>
      </c>
      <c r="B14" s="81" t="s">
        <v>566</v>
      </c>
      <c r="C14" s="155" t="s">
        <v>88</v>
      </c>
      <c r="D14" s="156">
        <f>6/5/$D$8</f>
        <v>0.46511627906976744</v>
      </c>
      <c r="E14" s="89">
        <v>213.97</v>
      </c>
      <c r="F14" s="89">
        <f t="shared" si="0"/>
        <v>99.520930232558143</v>
      </c>
      <c r="O14" s="4"/>
    </row>
    <row r="15" spans="1:15" ht="15">
      <c r="A15" s="76" t="s">
        <v>428</v>
      </c>
      <c r="B15" s="81" t="s">
        <v>380</v>
      </c>
      <c r="C15" s="155" t="s">
        <v>88</v>
      </c>
      <c r="D15" s="156">
        <f>6/4/$D$8</f>
        <v>0.58139534883720934</v>
      </c>
      <c r="E15" s="89">
        <v>123.74</v>
      </c>
      <c r="F15" s="89">
        <f t="shared" si="0"/>
        <v>71.941860465116278</v>
      </c>
      <c r="O15" s="30"/>
    </row>
    <row r="16" spans="1:15" ht="15">
      <c r="A16" s="76" t="s">
        <v>429</v>
      </c>
      <c r="B16" s="81" t="s">
        <v>32</v>
      </c>
      <c r="C16" s="155" t="s">
        <v>88</v>
      </c>
      <c r="D16" s="156">
        <f>6/4/$D$8</f>
        <v>0.58139534883720934</v>
      </c>
      <c r="E16" s="89">
        <v>49.64</v>
      </c>
      <c r="F16" s="89">
        <f t="shared" si="0"/>
        <v>28.860465116279073</v>
      </c>
      <c r="O16" s="30"/>
    </row>
    <row r="17" spans="1:15">
      <c r="A17" s="76" t="s">
        <v>430</v>
      </c>
      <c r="B17" s="81" t="s">
        <v>381</v>
      </c>
      <c r="C17" s="155" t="s">
        <v>88</v>
      </c>
      <c r="D17" s="156">
        <f>6/3/$D$8</f>
        <v>0.77519379844961234</v>
      </c>
      <c r="E17" s="89">
        <v>27.2</v>
      </c>
      <c r="F17" s="89">
        <f t="shared" si="0"/>
        <v>21.085271317829456</v>
      </c>
      <c r="O17" s="36"/>
    </row>
    <row r="18" spans="1:15" ht="15">
      <c r="A18" s="76" t="s">
        <v>431</v>
      </c>
      <c r="B18" s="81" t="s">
        <v>382</v>
      </c>
      <c r="C18" s="155" t="s">
        <v>88</v>
      </c>
      <c r="D18" s="156">
        <f>3/8/$D$8</f>
        <v>0.14534883720930233</v>
      </c>
      <c r="E18" s="89">
        <v>79.930000000000007</v>
      </c>
      <c r="F18" s="89">
        <f t="shared" si="0"/>
        <v>11.617732558139537</v>
      </c>
      <c r="O18" s="30"/>
    </row>
    <row r="19" spans="1:15">
      <c r="A19" s="76" t="s">
        <v>432</v>
      </c>
      <c r="B19" s="81" t="s">
        <v>567</v>
      </c>
      <c r="C19" s="155" t="s">
        <v>88</v>
      </c>
      <c r="D19" s="156">
        <f>3/1/$D$8</f>
        <v>1.1627906976744187</v>
      </c>
      <c r="E19" s="89">
        <v>6.63</v>
      </c>
      <c r="F19" s="89">
        <f t="shared" si="0"/>
        <v>7.7093023255813957</v>
      </c>
      <c r="O19" s="36"/>
    </row>
    <row r="20" spans="1:15">
      <c r="A20" s="122"/>
      <c r="B20" s="81"/>
      <c r="C20" s="157"/>
      <c r="D20" s="75"/>
      <c r="E20" s="89"/>
      <c r="F20" s="89"/>
      <c r="O20" s="36"/>
    </row>
    <row r="21" spans="1:15" ht="15">
      <c r="A21" s="84" t="s">
        <v>435</v>
      </c>
      <c r="B21" s="120" t="s">
        <v>35</v>
      </c>
      <c r="C21" s="152"/>
      <c r="D21" s="153"/>
      <c r="E21" s="89"/>
      <c r="F21" s="154">
        <f>F23+F24+F25+F26+F27+F28</f>
        <v>128.99667312661498</v>
      </c>
      <c r="O21" s="30"/>
    </row>
    <row r="22" spans="1:15">
      <c r="A22" s="76"/>
      <c r="B22" s="81"/>
      <c r="C22" s="155"/>
      <c r="D22" s="156"/>
      <c r="E22" s="89"/>
      <c r="F22" s="89"/>
      <c r="O22" s="36"/>
    </row>
    <row r="23" spans="1:15">
      <c r="A23" s="76" t="s">
        <v>494</v>
      </c>
      <c r="B23" s="81" t="s">
        <v>383</v>
      </c>
      <c r="C23" s="155" t="s">
        <v>88</v>
      </c>
      <c r="D23" s="156">
        <f>6/3/$D$8</f>
        <v>0.77519379844961234</v>
      </c>
      <c r="E23" s="89">
        <v>36.81</v>
      </c>
      <c r="F23" s="89">
        <f>E23*D23</f>
        <v>28.534883720930232</v>
      </c>
      <c r="O23" s="36"/>
    </row>
    <row r="24" spans="1:15">
      <c r="A24" s="76" t="s">
        <v>495</v>
      </c>
      <c r="B24" s="81" t="s">
        <v>638</v>
      </c>
      <c r="C24" s="155" t="s">
        <v>88</v>
      </c>
      <c r="D24" s="156">
        <f>4/9/$D$8</f>
        <v>0.1722652885443583</v>
      </c>
      <c r="E24" s="89">
        <v>294.17</v>
      </c>
      <c r="F24" s="89">
        <f>E24*D24</f>
        <v>50.675279931093883</v>
      </c>
      <c r="O24" s="36"/>
    </row>
    <row r="25" spans="1:15" ht="15">
      <c r="A25" s="76" t="s">
        <v>496</v>
      </c>
      <c r="B25" s="81" t="s">
        <v>384</v>
      </c>
      <c r="C25" s="155" t="s">
        <v>88</v>
      </c>
      <c r="D25" s="156">
        <f>2/9/$D$8</f>
        <v>8.6132644272179149E-2</v>
      </c>
      <c r="E25" s="89">
        <v>165.71</v>
      </c>
      <c r="F25" s="89">
        <f>E25*D25</f>
        <v>14.273040482342807</v>
      </c>
      <c r="O25" s="30"/>
    </row>
    <row r="26" spans="1:15">
      <c r="A26" s="76" t="s">
        <v>497</v>
      </c>
      <c r="B26" s="81" t="s">
        <v>36</v>
      </c>
      <c r="C26" s="155" t="s">
        <v>88</v>
      </c>
      <c r="D26" s="156">
        <f>1/8/$D$8</f>
        <v>4.8449612403100771E-2</v>
      </c>
      <c r="E26" s="89">
        <v>198.43</v>
      </c>
      <c r="F26" s="89">
        <f>E26*D26</f>
        <v>9.6138565891472858</v>
      </c>
      <c r="O26" s="36"/>
    </row>
    <row r="27" spans="1:15">
      <c r="A27" s="76" t="s">
        <v>498</v>
      </c>
      <c r="B27" s="81" t="s">
        <v>233</v>
      </c>
      <c r="C27" s="155" t="s">
        <v>88</v>
      </c>
      <c r="D27" s="156">
        <f>1/5/$D$8</f>
        <v>7.7519379844961239E-2</v>
      </c>
      <c r="E27" s="89">
        <v>229.03</v>
      </c>
      <c r="F27" s="89">
        <f>E27*D27</f>
        <v>17.754263565891474</v>
      </c>
      <c r="O27" s="36"/>
    </row>
    <row r="28" spans="1:15">
      <c r="A28" s="76" t="s">
        <v>499</v>
      </c>
      <c r="B28" s="81" t="s">
        <v>353</v>
      </c>
      <c r="C28" s="155"/>
      <c r="D28" s="156"/>
      <c r="E28" s="89"/>
      <c r="F28" s="89">
        <f>F29+F30+F31</f>
        <v>8.1453488372093013</v>
      </c>
      <c r="O28" s="36"/>
    </row>
    <row r="29" spans="1:15">
      <c r="A29" s="76"/>
      <c r="B29" s="81" t="s">
        <v>385</v>
      </c>
      <c r="C29" s="155" t="s">
        <v>88</v>
      </c>
      <c r="D29" s="156">
        <f>6/10/$D$8</f>
        <v>0.23255813953488372</v>
      </c>
      <c r="E29" s="89">
        <v>11.23</v>
      </c>
      <c r="F29" s="89">
        <f>E29*D29</f>
        <v>2.6116279069767443</v>
      </c>
      <c r="O29" s="36"/>
    </row>
    <row r="30" spans="1:15">
      <c r="A30" s="76"/>
      <c r="B30" s="81" t="s">
        <v>386</v>
      </c>
      <c r="C30" s="155" t="s">
        <v>88</v>
      </c>
      <c r="D30" s="156">
        <f>6/10/$D$8</f>
        <v>0.23255813953488372</v>
      </c>
      <c r="E30" s="89">
        <v>12.58</v>
      </c>
      <c r="F30" s="89">
        <f>E30*D30</f>
        <v>2.925581395348837</v>
      </c>
      <c r="O30" s="36"/>
    </row>
    <row r="31" spans="1:15">
      <c r="A31" s="76"/>
      <c r="B31" s="81" t="s">
        <v>387</v>
      </c>
      <c r="C31" s="155" t="s">
        <v>88</v>
      </c>
      <c r="D31" s="156">
        <f>3/10/$D$8</f>
        <v>0.11627906976744186</v>
      </c>
      <c r="E31" s="89">
        <v>22.43</v>
      </c>
      <c r="F31" s="89">
        <f>E31*D31</f>
        <v>2.6081395348837209</v>
      </c>
      <c r="O31" s="36"/>
    </row>
    <row r="32" spans="1:15" ht="15">
      <c r="A32" s="76"/>
      <c r="B32" s="81"/>
      <c r="C32" s="155"/>
      <c r="D32" s="75"/>
      <c r="E32" s="89"/>
      <c r="F32" s="89"/>
      <c r="O32" s="30"/>
    </row>
    <row r="33" spans="1:15" ht="14.25">
      <c r="A33" s="84" t="s">
        <v>436</v>
      </c>
      <c r="B33" s="120" t="s">
        <v>37</v>
      </c>
      <c r="C33" s="152"/>
      <c r="D33" s="153"/>
      <c r="E33" s="89"/>
      <c r="F33" s="154">
        <f>F35+F36+F37+F38+F39+F40+F41+F42</f>
        <v>319.5370025839793</v>
      </c>
      <c r="O33" s="4"/>
    </row>
    <row r="34" spans="1:15">
      <c r="A34" s="76"/>
      <c r="B34" s="158"/>
      <c r="C34" s="152"/>
      <c r="D34" s="75"/>
      <c r="E34" s="89"/>
      <c r="F34" s="89"/>
      <c r="O34" s="4"/>
    </row>
    <row r="35" spans="1:15">
      <c r="A35" s="76" t="s">
        <v>478</v>
      </c>
      <c r="B35" s="81" t="s">
        <v>234</v>
      </c>
      <c r="C35" s="155" t="s">
        <v>88</v>
      </c>
      <c r="D35" s="156">
        <f>1/15/$D$8</f>
        <v>2.5839793281653745E-2</v>
      </c>
      <c r="E35" s="89">
        <v>4232.5200000000004</v>
      </c>
      <c r="F35" s="89">
        <f t="shared" ref="F35:F42" si="1">E35*D35</f>
        <v>109.36744186046512</v>
      </c>
      <c r="O35" s="4"/>
    </row>
    <row r="36" spans="1:15">
      <c r="A36" s="76" t="s">
        <v>479</v>
      </c>
      <c r="B36" s="81" t="s">
        <v>235</v>
      </c>
      <c r="C36" s="155" t="s">
        <v>88</v>
      </c>
      <c r="D36" s="156">
        <f>1/10/$D$8</f>
        <v>3.875968992248062E-2</v>
      </c>
      <c r="E36" s="89">
        <v>2155.6</v>
      </c>
      <c r="F36" s="89">
        <f t="shared" si="1"/>
        <v>83.550387596899213</v>
      </c>
      <c r="O36" s="4"/>
    </row>
    <row r="37" spans="1:15">
      <c r="A37" s="76" t="s">
        <v>480</v>
      </c>
      <c r="B37" s="81" t="s">
        <v>236</v>
      </c>
      <c r="C37" s="155" t="s">
        <v>88</v>
      </c>
      <c r="D37" s="156">
        <f>1/14/$D$8</f>
        <v>2.768549280177187E-2</v>
      </c>
      <c r="E37" s="89">
        <v>1510.32</v>
      </c>
      <c r="F37" s="89">
        <f t="shared" si="1"/>
        <v>41.813953488372093</v>
      </c>
      <c r="O37" s="4"/>
    </row>
    <row r="38" spans="1:15">
      <c r="A38" s="76" t="s">
        <v>481</v>
      </c>
      <c r="B38" s="81" t="s">
        <v>38</v>
      </c>
      <c r="C38" s="155" t="s">
        <v>88</v>
      </c>
      <c r="D38" s="156">
        <f>1/9/$D$8</f>
        <v>4.3066322136089574E-2</v>
      </c>
      <c r="E38" s="89">
        <v>855.63</v>
      </c>
      <c r="F38" s="89">
        <f t="shared" si="1"/>
        <v>36.848837209302324</v>
      </c>
      <c r="O38" s="4"/>
    </row>
    <row r="39" spans="1:15">
      <c r="A39" s="76" t="s">
        <v>482</v>
      </c>
      <c r="B39" s="81" t="s">
        <v>118</v>
      </c>
      <c r="C39" s="155" t="s">
        <v>88</v>
      </c>
      <c r="D39" s="156">
        <f>4/25/$D$8</f>
        <v>6.2015503875968991E-2</v>
      </c>
      <c r="E39" s="89">
        <v>214.05</v>
      </c>
      <c r="F39" s="89">
        <f t="shared" si="1"/>
        <v>13.274418604651164</v>
      </c>
    </row>
    <row r="40" spans="1:15">
      <c r="A40" s="76" t="s">
        <v>483</v>
      </c>
      <c r="B40" s="81" t="s">
        <v>237</v>
      </c>
      <c r="C40" s="155" t="s">
        <v>88</v>
      </c>
      <c r="D40" s="156">
        <f>1/25/$D$8</f>
        <v>1.5503875968992248E-2</v>
      </c>
      <c r="E40" s="89">
        <v>145.62</v>
      </c>
      <c r="F40" s="89">
        <f t="shared" si="1"/>
        <v>2.2576744186046511</v>
      </c>
    </row>
    <row r="41" spans="1:15">
      <c r="A41" s="76" t="s">
        <v>500</v>
      </c>
      <c r="B41" s="81" t="s">
        <v>388</v>
      </c>
      <c r="C41" s="155" t="s">
        <v>88</v>
      </c>
      <c r="D41" s="156">
        <f>2/12/$D$8</f>
        <v>6.4599483204134361E-2</v>
      </c>
      <c r="E41" s="89">
        <v>475.12</v>
      </c>
      <c r="F41" s="89">
        <f t="shared" si="1"/>
        <v>30.692506459948319</v>
      </c>
    </row>
    <row r="42" spans="1:15">
      <c r="A42" s="76" t="s">
        <v>501</v>
      </c>
      <c r="B42" s="81" t="s">
        <v>522</v>
      </c>
      <c r="C42" s="155" t="s">
        <v>88</v>
      </c>
      <c r="D42" s="156">
        <f>1/20/$D$8</f>
        <v>1.937984496124031E-2</v>
      </c>
      <c r="E42" s="89">
        <v>89.36</v>
      </c>
      <c r="F42" s="89">
        <f t="shared" si="1"/>
        <v>1.731782945736434</v>
      </c>
    </row>
    <row r="43" spans="1:15" ht="20.25" customHeight="1">
      <c r="A43" s="84" t="s">
        <v>437</v>
      </c>
      <c r="B43" s="120" t="s">
        <v>39</v>
      </c>
      <c r="C43" s="152"/>
      <c r="D43" s="153"/>
      <c r="E43" s="89"/>
      <c r="F43" s="154">
        <f>F45+F46+F47+F48+F49+F50+F51</f>
        <v>387.40284263565889</v>
      </c>
    </row>
    <row r="44" spans="1:15" ht="14.25">
      <c r="A44" s="84"/>
      <c r="B44" s="120"/>
      <c r="C44" s="152"/>
      <c r="D44" s="121"/>
      <c r="E44" s="89"/>
      <c r="F44" s="89"/>
    </row>
    <row r="45" spans="1:15">
      <c r="A45" s="76" t="s">
        <v>438</v>
      </c>
      <c r="B45" s="81" t="s">
        <v>40</v>
      </c>
      <c r="C45" s="155" t="s">
        <v>88</v>
      </c>
      <c r="D45" s="156">
        <f>1/25/$D$8</f>
        <v>1.5503875968992248E-2</v>
      </c>
      <c r="E45" s="89">
        <v>1766.67</v>
      </c>
      <c r="F45" s="89">
        <f t="shared" ref="F45:F50" si="2">E45*D45</f>
        <v>27.390232558139537</v>
      </c>
    </row>
    <row r="46" spans="1:15">
      <c r="A46" s="76" t="s">
        <v>439</v>
      </c>
      <c r="B46" s="81" t="s">
        <v>389</v>
      </c>
      <c r="C46" s="155" t="s">
        <v>88</v>
      </c>
      <c r="D46" s="156">
        <f>1/25/$D$8</f>
        <v>1.5503875968992248E-2</v>
      </c>
      <c r="E46" s="89">
        <v>3196</v>
      </c>
      <c r="F46" s="89">
        <f t="shared" si="2"/>
        <v>49.550387596899228</v>
      </c>
    </row>
    <row r="47" spans="1:15">
      <c r="A47" s="76" t="s">
        <v>440</v>
      </c>
      <c r="B47" s="81" t="s">
        <v>129</v>
      </c>
      <c r="C47" s="155" t="s">
        <v>88</v>
      </c>
      <c r="D47" s="156">
        <f>1/20/$D$8</f>
        <v>1.937984496124031E-2</v>
      </c>
      <c r="E47" s="89">
        <v>192.11</v>
      </c>
      <c r="F47" s="89">
        <f t="shared" si="2"/>
        <v>3.7230620155038761</v>
      </c>
    </row>
    <row r="48" spans="1:15">
      <c r="A48" s="76" t="s">
        <v>441</v>
      </c>
      <c r="B48" s="81" t="s">
        <v>390</v>
      </c>
      <c r="C48" s="155" t="s">
        <v>88</v>
      </c>
      <c r="D48" s="156">
        <f>3/25/$D$8</f>
        <v>4.6511627906976744E-2</v>
      </c>
      <c r="E48" s="89">
        <v>5524.8</v>
      </c>
      <c r="F48" s="89">
        <f t="shared" si="2"/>
        <v>256.9674418604651</v>
      </c>
    </row>
    <row r="49" spans="1:6">
      <c r="A49" s="76" t="s">
        <v>442</v>
      </c>
      <c r="B49" s="81" t="s">
        <v>331</v>
      </c>
      <c r="C49" s="155" t="s">
        <v>88</v>
      </c>
      <c r="D49" s="156">
        <f>1/25/$D$8</f>
        <v>1.5503875968992248E-2</v>
      </c>
      <c r="E49" s="89">
        <v>797.74</v>
      </c>
      <c r="F49" s="89">
        <f t="shared" si="2"/>
        <v>12.368062015503876</v>
      </c>
    </row>
    <row r="50" spans="1:6">
      <c r="A50" s="76" t="s">
        <v>443</v>
      </c>
      <c r="B50" s="81" t="s">
        <v>41</v>
      </c>
      <c r="C50" s="155" t="s">
        <v>88</v>
      </c>
      <c r="D50" s="156">
        <f>3/15/$D$8</f>
        <v>7.7519379844961239E-2</v>
      </c>
      <c r="E50" s="89">
        <v>199.63</v>
      </c>
      <c r="F50" s="89">
        <f t="shared" si="2"/>
        <v>15.475193798449611</v>
      </c>
    </row>
    <row r="51" spans="1:6" ht="15">
      <c r="A51" s="76" t="s">
        <v>444</v>
      </c>
      <c r="B51" s="81" t="s">
        <v>361</v>
      </c>
      <c r="C51" s="155"/>
      <c r="D51" s="156"/>
      <c r="E51" s="89"/>
      <c r="F51" s="159">
        <f>(F45+F46+F47+F48+F49+F50)*0.06</f>
        <v>21.928462790697672</v>
      </c>
    </row>
    <row r="52" spans="1:6">
      <c r="A52" s="78"/>
      <c r="B52" s="81"/>
      <c r="C52" s="155"/>
      <c r="D52" s="156"/>
      <c r="E52" s="89"/>
      <c r="F52" s="89"/>
    </row>
    <row r="53" spans="1:6" ht="14.25">
      <c r="A53" s="160" t="s">
        <v>445</v>
      </c>
      <c r="B53" s="120" t="s">
        <v>33</v>
      </c>
      <c r="C53" s="155"/>
      <c r="D53" s="153"/>
      <c r="E53" s="89"/>
      <c r="F53" s="154">
        <f>F55+F62</f>
        <v>932.79456395348836</v>
      </c>
    </row>
    <row r="54" spans="1:6" ht="14.25">
      <c r="A54" s="160"/>
      <c r="B54" s="120"/>
      <c r="C54" s="155"/>
      <c r="D54" s="121"/>
      <c r="E54" s="89"/>
      <c r="F54" s="89"/>
    </row>
    <row r="55" spans="1:6" ht="15">
      <c r="A55" s="161" t="s">
        <v>446</v>
      </c>
      <c r="B55" s="162" t="s">
        <v>568</v>
      </c>
      <c r="C55" s="155"/>
      <c r="D55" s="121"/>
      <c r="E55" s="89"/>
      <c r="F55" s="163">
        <f>F56+F57+F58+F60+F61</f>
        <v>608.28100775193798</v>
      </c>
    </row>
    <row r="56" spans="1:6">
      <c r="A56" s="78" t="s">
        <v>502</v>
      </c>
      <c r="B56" s="81" t="s">
        <v>391</v>
      </c>
      <c r="C56" s="155" t="s">
        <v>88</v>
      </c>
      <c r="D56" s="156">
        <f>42/1/$D$8</f>
        <v>16.279069767441861</v>
      </c>
      <c r="E56" s="89">
        <v>10.74</v>
      </c>
      <c r="F56" s="89">
        <f>E56*D56</f>
        <v>174.83720930232559</v>
      </c>
    </row>
    <row r="57" spans="1:6">
      <c r="A57" s="78" t="s">
        <v>503</v>
      </c>
      <c r="B57" s="81" t="s">
        <v>392</v>
      </c>
      <c r="C57" s="155" t="s">
        <v>88</v>
      </c>
      <c r="D57" s="156">
        <f>34/1/$D$8</f>
        <v>13.178294573643411</v>
      </c>
      <c r="E57" s="89">
        <v>6.3125</v>
      </c>
      <c r="F57" s="89">
        <f>E57*D57</f>
        <v>83.187984496124031</v>
      </c>
    </row>
    <row r="58" spans="1:6">
      <c r="A58" s="78" t="s">
        <v>504</v>
      </c>
      <c r="B58" s="81" t="s">
        <v>569</v>
      </c>
      <c r="C58" s="155" t="s">
        <v>88</v>
      </c>
      <c r="D58" s="156">
        <f>24/1/$D$8</f>
        <v>9.3023255813953494</v>
      </c>
      <c r="E58" s="89">
        <v>23.7</v>
      </c>
      <c r="F58" s="89">
        <f>E58*D58</f>
        <v>220.46511627906978</v>
      </c>
    </row>
    <row r="59" spans="1:6">
      <c r="A59" s="78"/>
      <c r="B59" s="81" t="s">
        <v>393</v>
      </c>
      <c r="C59" s="155"/>
      <c r="D59" s="156"/>
      <c r="E59" s="89"/>
      <c r="F59" s="89"/>
    </row>
    <row r="60" spans="1:6">
      <c r="A60" s="78" t="s">
        <v>505</v>
      </c>
      <c r="B60" s="81" t="s">
        <v>394</v>
      </c>
      <c r="C60" s="155" t="s">
        <v>88</v>
      </c>
      <c r="D60" s="156">
        <f>6/1/$D$8</f>
        <v>2.3255813953488373</v>
      </c>
      <c r="E60" s="89">
        <v>43.28</v>
      </c>
      <c r="F60" s="89">
        <f>E60*D60</f>
        <v>100.65116279069768</v>
      </c>
    </row>
    <row r="61" spans="1:6">
      <c r="A61" s="78" t="s">
        <v>506</v>
      </c>
      <c r="B61" s="81" t="s">
        <v>395</v>
      </c>
      <c r="C61" s="155" t="s">
        <v>88</v>
      </c>
      <c r="D61" s="156">
        <f>6/1/$D$8</f>
        <v>2.3255813953488373</v>
      </c>
      <c r="E61" s="89">
        <v>12.53</v>
      </c>
      <c r="F61" s="89">
        <f>E61*D61</f>
        <v>29.13953488372093</v>
      </c>
    </row>
    <row r="62" spans="1:6" ht="15">
      <c r="A62" s="78" t="s">
        <v>447</v>
      </c>
      <c r="B62" s="164" t="s">
        <v>332</v>
      </c>
      <c r="C62" s="155"/>
      <c r="D62" s="156"/>
      <c r="E62" s="89"/>
      <c r="F62" s="163">
        <f>F63+F64+F65+F66+F67+F68</f>
        <v>324.51355620155039</v>
      </c>
    </row>
    <row r="63" spans="1:6">
      <c r="A63" s="78" t="s">
        <v>507</v>
      </c>
      <c r="B63" s="81" t="s">
        <v>396</v>
      </c>
      <c r="C63" s="155" t="s">
        <v>88</v>
      </c>
      <c r="D63" s="156">
        <f>17/1/$D$8</f>
        <v>6.5891472868217056</v>
      </c>
      <c r="E63" s="89">
        <v>33.674999999999997</v>
      </c>
      <c r="F63" s="89">
        <f>E63*D63</f>
        <v>221.88953488372093</v>
      </c>
    </row>
    <row r="64" spans="1:6">
      <c r="A64" s="78" t="s">
        <v>508</v>
      </c>
      <c r="B64" s="81" t="s">
        <v>83</v>
      </c>
      <c r="C64" s="155" t="s">
        <v>88</v>
      </c>
      <c r="D64" s="156">
        <f>6/1/$D$8</f>
        <v>2.3255813953488373</v>
      </c>
      <c r="E64" s="89">
        <v>11.58</v>
      </c>
      <c r="F64" s="89">
        <f>E64*D64</f>
        <v>26.930232558139537</v>
      </c>
    </row>
    <row r="65" spans="1:39">
      <c r="A65" s="78" t="s">
        <v>509</v>
      </c>
      <c r="B65" s="81" t="s">
        <v>84</v>
      </c>
      <c r="C65" s="155" t="s">
        <v>88</v>
      </c>
      <c r="D65" s="156">
        <f>2/1/$D$8</f>
        <v>0.77519379844961234</v>
      </c>
      <c r="E65" s="89">
        <v>11.26</v>
      </c>
      <c r="F65" s="89">
        <f>E65*D65</f>
        <v>8.7286821705426352</v>
      </c>
    </row>
    <row r="66" spans="1:39">
      <c r="A66" s="78" t="s">
        <v>510</v>
      </c>
      <c r="B66" s="81" t="s">
        <v>85</v>
      </c>
      <c r="C66" s="155" t="s">
        <v>88</v>
      </c>
      <c r="D66" s="156">
        <f>3/1/$D$8</f>
        <v>1.1627906976744187</v>
      </c>
      <c r="E66" s="89">
        <v>10.050000000000001</v>
      </c>
      <c r="F66" s="89">
        <f>E66*D66</f>
        <v>11.686046511627909</v>
      </c>
    </row>
    <row r="67" spans="1:39">
      <c r="A67" s="78" t="s">
        <v>511</v>
      </c>
      <c r="B67" s="81" t="s">
        <v>86</v>
      </c>
      <c r="C67" s="155" t="s">
        <v>88</v>
      </c>
      <c r="D67" s="156">
        <f>36/1/$D$8</f>
        <v>13.953488372093023</v>
      </c>
      <c r="E67" s="89">
        <v>3.8</v>
      </c>
      <c r="F67" s="89">
        <f>E67*D67</f>
        <v>53.023255813953483</v>
      </c>
    </row>
    <row r="68" spans="1:39">
      <c r="A68" s="78" t="s">
        <v>512</v>
      </c>
      <c r="B68" s="81" t="s">
        <v>362</v>
      </c>
      <c r="C68" s="155"/>
      <c r="D68" s="156"/>
      <c r="E68" s="89"/>
      <c r="F68" s="89">
        <f>(F63+F64+F65+F66+F67)*0.007</f>
        <v>2.2558042635658917</v>
      </c>
    </row>
    <row r="69" spans="1:39" s="33" customFormat="1" ht="15">
      <c r="A69" s="160" t="s">
        <v>452</v>
      </c>
      <c r="B69" s="120" t="s">
        <v>34</v>
      </c>
      <c r="C69" s="165"/>
      <c r="D69" s="166"/>
      <c r="E69" s="89"/>
      <c r="F69" s="154">
        <f>SUM(F71:F81)</f>
        <v>272.51162790697674</v>
      </c>
      <c r="J69" s="41"/>
      <c r="K69" s="41"/>
      <c r="L69" s="41"/>
      <c r="M69" s="41"/>
      <c r="N69" s="41"/>
      <c r="O69" s="41"/>
      <c r="AF69" s="41"/>
      <c r="AG69" s="41"/>
      <c r="AH69" s="41"/>
      <c r="AI69" s="41"/>
      <c r="AJ69" s="41"/>
      <c r="AK69" s="41"/>
      <c r="AL69" s="41"/>
      <c r="AM69" s="41"/>
    </row>
    <row r="70" spans="1:39">
      <c r="A70" s="78"/>
      <c r="B70" s="81"/>
      <c r="C70" s="155"/>
      <c r="D70" s="156"/>
      <c r="E70" s="89"/>
      <c r="F70" s="89"/>
    </row>
    <row r="71" spans="1:39">
      <c r="A71" s="78" t="s">
        <v>513</v>
      </c>
      <c r="B71" s="81" t="s">
        <v>397</v>
      </c>
      <c r="C71" s="155" t="s">
        <v>333</v>
      </c>
      <c r="D71" s="156">
        <f>5/1/$D$8</f>
        <v>1.9379844961240309</v>
      </c>
      <c r="E71" s="89">
        <v>90.199999999999989</v>
      </c>
      <c r="F71" s="89">
        <f>E71*D71</f>
        <v>174.80620155038756</v>
      </c>
    </row>
    <row r="72" spans="1:39">
      <c r="A72" s="78" t="s">
        <v>514</v>
      </c>
      <c r="B72" s="81" t="s">
        <v>398</v>
      </c>
      <c r="C72" s="155" t="s">
        <v>89</v>
      </c>
      <c r="D72" s="156">
        <f>5/1/$D$8</f>
        <v>1.9379844961240309</v>
      </c>
      <c r="E72" s="89">
        <v>3.78</v>
      </c>
      <c r="F72" s="89">
        <f>E72*D72</f>
        <v>7.325581395348836</v>
      </c>
    </row>
    <row r="73" spans="1:39">
      <c r="A73" s="78" t="s">
        <v>515</v>
      </c>
      <c r="B73" s="81" t="s">
        <v>632</v>
      </c>
      <c r="C73" s="155" t="s">
        <v>89</v>
      </c>
      <c r="D73" s="156">
        <f>5/1/$D$8</f>
        <v>1.9379844961240309</v>
      </c>
      <c r="E73" s="89">
        <v>2.44</v>
      </c>
      <c r="F73" s="89">
        <f>E73*D73</f>
        <v>4.7286821705426352</v>
      </c>
    </row>
    <row r="74" spans="1:39">
      <c r="A74" s="90"/>
      <c r="B74" s="167" t="s">
        <v>570</v>
      </c>
      <c r="C74" s="155"/>
      <c r="D74" s="156"/>
      <c r="E74" s="89"/>
      <c r="F74" s="89"/>
    </row>
    <row r="75" spans="1:39">
      <c r="A75" s="90" t="s">
        <v>516</v>
      </c>
      <c r="B75" s="81" t="s">
        <v>633</v>
      </c>
      <c r="C75" s="155" t="s">
        <v>399</v>
      </c>
      <c r="D75" s="156">
        <f>2/1/$D$8</f>
        <v>0.77519379844961234</v>
      </c>
      <c r="E75" s="89">
        <v>1.91</v>
      </c>
      <c r="F75" s="89">
        <f>E75*D75</f>
        <v>1.4806201550387594</v>
      </c>
    </row>
    <row r="76" spans="1:39">
      <c r="A76" s="90" t="s">
        <v>517</v>
      </c>
      <c r="B76" s="81" t="s">
        <v>624</v>
      </c>
      <c r="C76" s="155" t="s">
        <v>88</v>
      </c>
      <c r="D76" s="156">
        <f>5/1/$D$8</f>
        <v>1.9379844961240309</v>
      </c>
      <c r="E76" s="89">
        <v>6.3</v>
      </c>
      <c r="F76" s="89">
        <f>E76*D76</f>
        <v>12.209302325581394</v>
      </c>
    </row>
    <row r="77" spans="1:39">
      <c r="A77" s="78"/>
      <c r="B77" s="167" t="s">
        <v>571</v>
      </c>
      <c r="C77" s="155"/>
      <c r="D77" s="156"/>
      <c r="E77" s="89"/>
      <c r="F77" s="89"/>
    </row>
    <row r="78" spans="1:39">
      <c r="A78" s="78" t="s">
        <v>518</v>
      </c>
      <c r="B78" s="81" t="s">
        <v>572</v>
      </c>
      <c r="C78" s="155" t="s">
        <v>89</v>
      </c>
      <c r="D78" s="156">
        <f>9/1/$D$8</f>
        <v>3.4883720930232558</v>
      </c>
      <c r="E78" s="89">
        <v>12.17</v>
      </c>
      <c r="F78" s="89">
        <f>E78*D78</f>
        <v>42.45348837209302</v>
      </c>
    </row>
    <row r="79" spans="1:39">
      <c r="A79" s="78" t="s">
        <v>519</v>
      </c>
      <c r="B79" s="81" t="s">
        <v>573</v>
      </c>
      <c r="C79" s="155" t="s">
        <v>88</v>
      </c>
      <c r="D79" s="156">
        <f>1/1/$D$8</f>
        <v>0.38759689922480617</v>
      </c>
      <c r="E79" s="89">
        <v>5.09</v>
      </c>
      <c r="F79" s="89">
        <f>E79*D79</f>
        <v>1.9728682170542633</v>
      </c>
    </row>
    <row r="80" spans="1:39">
      <c r="A80" s="78" t="s">
        <v>520</v>
      </c>
      <c r="B80" s="81" t="s">
        <v>334</v>
      </c>
      <c r="C80" s="155" t="s">
        <v>88</v>
      </c>
      <c r="D80" s="156">
        <f>1/1/$D$8</f>
        <v>0.38759689922480617</v>
      </c>
      <c r="E80" s="89">
        <v>18.96</v>
      </c>
      <c r="F80" s="89">
        <f>E80*D80</f>
        <v>7.3488372093023253</v>
      </c>
    </row>
    <row r="81" spans="1:6">
      <c r="A81" s="78" t="s">
        <v>521</v>
      </c>
      <c r="B81" s="81" t="s">
        <v>363</v>
      </c>
      <c r="C81" s="155"/>
      <c r="D81" s="75"/>
      <c r="E81" s="89"/>
      <c r="F81" s="89">
        <f>(F71+F72+F73+F75+F76+F78+F79+F80)*0.08</f>
        <v>20.186046511627907</v>
      </c>
    </row>
    <row r="82" spans="1:6" ht="18.75">
      <c r="A82" s="168" t="s">
        <v>374</v>
      </c>
      <c r="B82" s="169"/>
      <c r="C82" s="170"/>
      <c r="D82" s="171"/>
      <c r="E82" s="170"/>
      <c r="F82" s="353">
        <f>F10+F21+F33+F43+F53+F69</f>
        <v>2428.6516249354004</v>
      </c>
    </row>
    <row r="83" spans="1:6" ht="18.75">
      <c r="A83" s="172" t="s">
        <v>375</v>
      </c>
      <c r="B83" s="173"/>
      <c r="C83" s="174"/>
      <c r="D83" s="174"/>
      <c r="E83" s="174"/>
      <c r="F83" s="346">
        <f>F82/12</f>
        <v>202.38763541128336</v>
      </c>
    </row>
  </sheetData>
  <mergeCells count="2">
    <mergeCell ref="A1:F1"/>
    <mergeCell ref="A2:F2"/>
  </mergeCells>
  <phoneticPr fontId="30" type="noConversion"/>
  <pageMargins left="0.55000000000000004" right="0.24" top="0.77" bottom="1.1499999999999999" header="0.4" footer="0.65"/>
  <pageSetup paperSize="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6"/>
  <sheetViews>
    <sheetView topLeftCell="A25" zoomScale="75" workbookViewId="0">
      <selection activeCell="E48" sqref="E48"/>
    </sheetView>
  </sheetViews>
  <sheetFormatPr defaultRowHeight="12.75"/>
  <cols>
    <col min="1" max="1" width="6.28515625" style="51" customWidth="1"/>
    <col min="2" max="2" width="31" style="5" customWidth="1"/>
    <col min="3" max="3" width="7" style="5" customWidth="1"/>
    <col min="4" max="4" width="18.85546875" style="15" customWidth="1"/>
    <col min="5" max="5" width="10.42578125" style="5" customWidth="1"/>
    <col min="6" max="6" width="12.5703125" style="15" customWidth="1"/>
    <col min="7" max="7" width="9.85546875" bestFit="1" customWidth="1"/>
  </cols>
  <sheetData>
    <row r="1" spans="1:10" ht="15.75">
      <c r="A1" s="401" t="s">
        <v>415</v>
      </c>
      <c r="B1" s="401"/>
      <c r="C1" s="401"/>
      <c r="D1" s="401"/>
      <c r="E1" s="401"/>
      <c r="F1" s="401"/>
    </row>
    <row r="2" spans="1:10" ht="15.75">
      <c r="A2" s="402" t="s">
        <v>654</v>
      </c>
      <c r="B2" s="402"/>
      <c r="C2" s="402"/>
      <c r="D2" s="402"/>
      <c r="E2" s="402"/>
      <c r="F2" s="402"/>
    </row>
    <row r="3" spans="1:10">
      <c r="A3" s="229" t="s">
        <v>42</v>
      </c>
      <c r="B3" s="230"/>
      <c r="C3" s="68" t="s">
        <v>92</v>
      </c>
      <c r="D3" s="82" t="s">
        <v>238</v>
      </c>
      <c r="E3" s="68" t="s">
        <v>94</v>
      </c>
      <c r="F3" s="68" t="s">
        <v>107</v>
      </c>
    </row>
    <row r="4" spans="1:10">
      <c r="A4" s="231" t="s">
        <v>373</v>
      </c>
      <c r="B4" s="155" t="s">
        <v>302</v>
      </c>
      <c r="C4" s="73" t="s">
        <v>81</v>
      </c>
      <c r="D4" s="80" t="s">
        <v>240</v>
      </c>
      <c r="E4" s="73" t="s">
        <v>95</v>
      </c>
      <c r="F4" s="73" t="s">
        <v>105</v>
      </c>
      <c r="J4" s="21"/>
    </row>
    <row r="5" spans="1:10">
      <c r="A5" s="232"/>
      <c r="B5" s="155" t="s">
        <v>112</v>
      </c>
      <c r="C5" s="73"/>
      <c r="D5" s="80" t="s">
        <v>241</v>
      </c>
      <c r="E5" s="73" t="s">
        <v>666</v>
      </c>
      <c r="F5" s="75"/>
    </row>
    <row r="6" spans="1:10">
      <c r="A6" s="232"/>
      <c r="B6" s="188"/>
      <c r="C6" s="73"/>
      <c r="D6" s="73" t="s">
        <v>314</v>
      </c>
      <c r="E6" s="73" t="s">
        <v>665</v>
      </c>
      <c r="F6" s="75"/>
    </row>
    <row r="7" spans="1:10">
      <c r="A7" s="233"/>
      <c r="B7" s="189"/>
      <c r="C7" s="73"/>
      <c r="D7" s="80" t="s">
        <v>242</v>
      </c>
      <c r="E7" s="77"/>
      <c r="F7" s="75"/>
    </row>
    <row r="8" spans="1:10">
      <c r="A8" s="233"/>
      <c r="B8" s="189"/>
      <c r="C8" s="73"/>
      <c r="D8" s="80" t="s">
        <v>257</v>
      </c>
      <c r="E8" s="77"/>
      <c r="F8" s="75"/>
    </row>
    <row r="9" spans="1:10">
      <c r="A9" s="233"/>
      <c r="B9" s="189"/>
      <c r="C9" s="73"/>
      <c r="D9" s="80"/>
      <c r="E9" s="77"/>
      <c r="F9" s="75"/>
    </row>
    <row r="10" spans="1:10">
      <c r="A10" s="233"/>
      <c r="B10" s="189"/>
      <c r="C10" s="73"/>
      <c r="D10" s="80">
        <v>51.5</v>
      </c>
      <c r="E10" s="77"/>
      <c r="F10" s="75"/>
    </row>
    <row r="11" spans="1:10">
      <c r="A11" s="234"/>
      <c r="B11" s="235"/>
      <c r="C11" s="119"/>
      <c r="D11" s="131">
        <v>48.5</v>
      </c>
      <c r="E11" s="305" t="s">
        <v>655</v>
      </c>
      <c r="F11" s="150" t="s">
        <v>655</v>
      </c>
    </row>
    <row r="12" spans="1:10" ht="14.25">
      <c r="A12" s="236"/>
      <c r="B12" s="237" t="s">
        <v>127</v>
      </c>
      <c r="C12" s="68"/>
      <c r="D12" s="70"/>
      <c r="E12" s="203"/>
      <c r="F12" s="70"/>
    </row>
    <row r="13" spans="1:10" ht="14.25">
      <c r="A13" s="76"/>
      <c r="B13" s="238" t="s">
        <v>128</v>
      </c>
      <c r="C13" s="73"/>
      <c r="D13" s="75"/>
      <c r="E13" s="155"/>
      <c r="F13" s="163">
        <f>F14+F17+F19+F29+F31+F35+F39+F42+F45+F47+F49+F51+F52</f>
        <v>3815.8413749999995</v>
      </c>
    </row>
    <row r="14" spans="1:10" ht="14.25">
      <c r="A14" s="84">
        <v>1</v>
      </c>
      <c r="B14" s="85" t="s">
        <v>10</v>
      </c>
      <c r="C14" s="73" t="s">
        <v>88</v>
      </c>
      <c r="D14" s="153"/>
      <c r="E14" s="198"/>
      <c r="F14" s="163">
        <f>F15</f>
        <v>498.96499999999997</v>
      </c>
    </row>
    <row r="15" spans="1:10">
      <c r="A15" s="76" t="s">
        <v>424</v>
      </c>
      <c r="B15" s="79" t="s">
        <v>258</v>
      </c>
      <c r="C15" s="73" t="s">
        <v>88</v>
      </c>
      <c r="D15" s="89">
        <f>1/2</f>
        <v>0.5</v>
      </c>
      <c r="E15" s="88">
        <v>997.93</v>
      </c>
      <c r="F15" s="89">
        <f>E15*D15</f>
        <v>498.96499999999997</v>
      </c>
    </row>
    <row r="16" spans="1:10">
      <c r="A16" s="76"/>
      <c r="B16" s="79" t="s">
        <v>259</v>
      </c>
      <c r="C16" s="73"/>
      <c r="D16" s="75"/>
      <c r="E16" s="88"/>
      <c r="F16" s="89"/>
    </row>
    <row r="17" spans="1:7" ht="14.25">
      <c r="A17" s="84" t="s">
        <v>435</v>
      </c>
      <c r="B17" s="85" t="s">
        <v>578</v>
      </c>
      <c r="C17" s="73" t="s">
        <v>88</v>
      </c>
      <c r="D17" s="163"/>
      <c r="E17" s="88"/>
      <c r="F17" s="163">
        <f>F18</f>
        <v>498.96499999999997</v>
      </c>
    </row>
    <row r="18" spans="1:7">
      <c r="A18" s="76" t="s">
        <v>494</v>
      </c>
      <c r="B18" s="79" t="s">
        <v>344</v>
      </c>
      <c r="C18" s="73" t="s">
        <v>88</v>
      </c>
      <c r="D18" s="89">
        <f>1/2</f>
        <v>0.5</v>
      </c>
      <c r="E18" s="88">
        <v>997.93</v>
      </c>
      <c r="F18" s="89">
        <f>E18*D18</f>
        <v>498.96499999999997</v>
      </c>
    </row>
    <row r="19" spans="1:7" ht="14.25">
      <c r="A19" s="84" t="s">
        <v>436</v>
      </c>
      <c r="B19" s="85" t="s">
        <v>20</v>
      </c>
      <c r="C19" s="239"/>
      <c r="D19" s="153"/>
      <c r="E19" s="88"/>
      <c r="F19" s="163">
        <f>F20+F22+F24+F26+F27+F28</f>
        <v>710.98664166666663</v>
      </c>
    </row>
    <row r="20" spans="1:7">
      <c r="A20" s="76" t="s">
        <v>478</v>
      </c>
      <c r="B20" s="79" t="s">
        <v>260</v>
      </c>
      <c r="C20" s="73" t="s">
        <v>88</v>
      </c>
      <c r="D20" s="156">
        <f>2/3.5*$D$11/100</f>
        <v>0.27714285714285714</v>
      </c>
      <c r="E20" s="88">
        <v>226.03</v>
      </c>
      <c r="F20" s="89">
        <f>E20*D20</f>
        <v>62.642600000000002</v>
      </c>
      <c r="G20" s="56"/>
    </row>
    <row r="21" spans="1:7">
      <c r="A21" s="76"/>
      <c r="B21" s="79" t="s">
        <v>261</v>
      </c>
      <c r="C21" s="73"/>
      <c r="D21" s="156"/>
      <c r="E21" s="88"/>
      <c r="F21" s="89"/>
    </row>
    <row r="22" spans="1:7">
      <c r="A22" s="76" t="s">
        <v>479</v>
      </c>
      <c r="B22" s="79" t="s">
        <v>246</v>
      </c>
      <c r="C22" s="73" t="s">
        <v>88</v>
      </c>
      <c r="D22" s="156">
        <f>2/1*$D$10/100</f>
        <v>1.03</v>
      </c>
      <c r="E22" s="88">
        <v>148.07</v>
      </c>
      <c r="F22" s="89">
        <f>E22*D22</f>
        <v>152.5121</v>
      </c>
    </row>
    <row r="23" spans="1:7">
      <c r="A23" s="76"/>
      <c r="B23" s="79" t="s">
        <v>603</v>
      </c>
      <c r="C23" s="73"/>
      <c r="D23" s="156"/>
      <c r="E23" s="88"/>
      <c r="F23" s="89"/>
    </row>
    <row r="24" spans="1:7">
      <c r="A24" s="76" t="s">
        <v>480</v>
      </c>
      <c r="B24" s="79" t="s">
        <v>262</v>
      </c>
      <c r="C24" s="73" t="s">
        <v>88</v>
      </c>
      <c r="D24" s="156">
        <f>1/2*$D$10/100</f>
        <v>0.25750000000000001</v>
      </c>
      <c r="E24" s="88">
        <v>232.73</v>
      </c>
      <c r="F24" s="89">
        <f>E24*D24</f>
        <v>59.927974999999996</v>
      </c>
    </row>
    <row r="25" spans="1:7">
      <c r="A25" s="76"/>
      <c r="B25" s="79" t="s">
        <v>244</v>
      </c>
      <c r="C25" s="73"/>
      <c r="D25" s="156"/>
      <c r="E25" s="88"/>
      <c r="F25" s="89"/>
    </row>
    <row r="26" spans="1:7">
      <c r="A26" s="76" t="s">
        <v>481</v>
      </c>
      <c r="B26" s="79" t="s">
        <v>345</v>
      </c>
      <c r="C26" s="73" t="s">
        <v>88</v>
      </c>
      <c r="D26" s="156">
        <f>1/1.5*$D$10/100</f>
        <v>0.34333333333333327</v>
      </c>
      <c r="E26" s="88">
        <v>232.73</v>
      </c>
      <c r="F26" s="89">
        <f>E26*D26</f>
        <v>79.903966666666648</v>
      </c>
    </row>
    <row r="27" spans="1:7">
      <c r="A27" s="76" t="s">
        <v>482</v>
      </c>
      <c r="B27" s="79" t="s">
        <v>376</v>
      </c>
      <c r="C27" s="73" t="s">
        <v>88</v>
      </c>
      <c r="D27" s="89">
        <f>1/2</f>
        <v>0.5</v>
      </c>
      <c r="E27" s="88">
        <v>194.5</v>
      </c>
      <c r="F27" s="89">
        <f>E27*D27</f>
        <v>97.25</v>
      </c>
    </row>
    <row r="28" spans="1:7">
      <c r="A28" s="76" t="s">
        <v>483</v>
      </c>
      <c r="B28" s="79" t="s">
        <v>11</v>
      </c>
      <c r="C28" s="73" t="s">
        <v>88</v>
      </c>
      <c r="D28" s="125">
        <f>1/1</f>
        <v>1</v>
      </c>
      <c r="E28" s="88">
        <v>258.75</v>
      </c>
      <c r="F28" s="89">
        <f>E28*D28</f>
        <v>258.75</v>
      </c>
    </row>
    <row r="29" spans="1:7" ht="14.25">
      <c r="A29" s="123" t="s">
        <v>437</v>
      </c>
      <c r="B29" s="137" t="s">
        <v>263</v>
      </c>
      <c r="C29" s="73" t="s">
        <v>211</v>
      </c>
      <c r="D29" s="156">
        <f>1/6</f>
        <v>0.16666666666666666</v>
      </c>
      <c r="E29" s="88">
        <v>202.2</v>
      </c>
      <c r="F29" s="163">
        <f>E29*D29</f>
        <v>33.699999999999996</v>
      </c>
    </row>
    <row r="30" spans="1:7" ht="15">
      <c r="A30" s="123"/>
      <c r="B30" s="240" t="s">
        <v>574</v>
      </c>
      <c r="C30" s="73"/>
      <c r="D30" s="156"/>
      <c r="E30" s="88"/>
      <c r="F30" s="163"/>
    </row>
    <row r="31" spans="1:7" ht="14.25">
      <c r="A31" s="123" t="s">
        <v>445</v>
      </c>
      <c r="B31" s="137" t="s">
        <v>12</v>
      </c>
      <c r="C31" s="81"/>
      <c r="D31" s="81"/>
      <c r="E31" s="88"/>
      <c r="F31" s="163">
        <f>F32+F33+F34</f>
        <v>579.75500000000011</v>
      </c>
    </row>
    <row r="32" spans="1:7">
      <c r="A32" s="76" t="s">
        <v>446</v>
      </c>
      <c r="B32" s="59" t="s">
        <v>13</v>
      </c>
      <c r="C32" s="73" t="s">
        <v>88</v>
      </c>
      <c r="D32" s="156">
        <f>5/1.5</f>
        <v>3.3333333333333335</v>
      </c>
      <c r="E32" s="88">
        <v>38.58</v>
      </c>
      <c r="F32" s="89">
        <f>E32*D32</f>
        <v>128.6</v>
      </c>
    </row>
    <row r="33" spans="1:6">
      <c r="A33" s="76" t="s">
        <v>447</v>
      </c>
      <c r="B33" s="59" t="s">
        <v>575</v>
      </c>
      <c r="C33" s="73" t="s">
        <v>88</v>
      </c>
      <c r="D33" s="125">
        <f>3/1</f>
        <v>3</v>
      </c>
      <c r="E33" s="88">
        <v>125.65</v>
      </c>
      <c r="F33" s="89">
        <f>E33*D33</f>
        <v>376.95000000000005</v>
      </c>
    </row>
    <row r="34" spans="1:6">
      <c r="A34" s="76" t="s">
        <v>448</v>
      </c>
      <c r="B34" s="59" t="s">
        <v>24</v>
      </c>
      <c r="C34" s="73" t="s">
        <v>88</v>
      </c>
      <c r="D34" s="89">
        <f>1/2</f>
        <v>0.5</v>
      </c>
      <c r="E34" s="88">
        <v>148.41</v>
      </c>
      <c r="F34" s="89">
        <f>E34*D34</f>
        <v>74.204999999999998</v>
      </c>
    </row>
    <row r="35" spans="1:6" ht="14.25">
      <c r="A35" s="84" t="s">
        <v>452</v>
      </c>
      <c r="B35" s="85" t="s">
        <v>14</v>
      </c>
      <c r="C35" s="239"/>
      <c r="D35" s="153"/>
      <c r="E35" s="88"/>
      <c r="F35" s="163">
        <f>F36+F37+F38</f>
        <v>188.39140000000003</v>
      </c>
    </row>
    <row r="36" spans="1:6">
      <c r="A36" s="76" t="s">
        <v>513</v>
      </c>
      <c r="B36" s="79" t="s">
        <v>249</v>
      </c>
      <c r="C36" s="73" t="s">
        <v>88</v>
      </c>
      <c r="D36" s="156">
        <f>4/1*$D$10/100</f>
        <v>2.06</v>
      </c>
      <c r="E36" s="88">
        <v>16.010000000000002</v>
      </c>
      <c r="F36" s="89">
        <f>E36*D36</f>
        <v>32.980600000000003</v>
      </c>
    </row>
    <row r="37" spans="1:6">
      <c r="A37" s="76" t="s">
        <v>514</v>
      </c>
      <c r="B37" s="59" t="s">
        <v>250</v>
      </c>
      <c r="C37" s="73" t="s">
        <v>88</v>
      </c>
      <c r="D37" s="156">
        <f>3/1*$D$11/100</f>
        <v>1.4550000000000001</v>
      </c>
      <c r="E37" s="88">
        <v>75.760000000000005</v>
      </c>
      <c r="F37" s="89">
        <f>E37*D37</f>
        <v>110.23080000000002</v>
      </c>
    </row>
    <row r="38" spans="1:6">
      <c r="A38" s="76" t="s">
        <v>515</v>
      </c>
      <c r="B38" s="59" t="s">
        <v>227</v>
      </c>
      <c r="C38" s="73" t="s">
        <v>88</v>
      </c>
      <c r="D38" s="89">
        <f>1/2</f>
        <v>0.5</v>
      </c>
      <c r="E38" s="88">
        <v>90.36</v>
      </c>
      <c r="F38" s="89">
        <f>E38*D38</f>
        <v>45.18</v>
      </c>
    </row>
    <row r="39" spans="1:6" ht="14.25">
      <c r="A39" s="84" t="s">
        <v>453</v>
      </c>
      <c r="B39" s="137" t="s">
        <v>15</v>
      </c>
      <c r="C39" s="239"/>
      <c r="D39" s="153"/>
      <c r="E39" s="88"/>
      <c r="F39" s="163">
        <f>F40</f>
        <v>80.265000000000001</v>
      </c>
    </row>
    <row r="40" spans="1:6">
      <c r="A40" s="76" t="s">
        <v>454</v>
      </c>
      <c r="B40" s="59" t="s">
        <v>251</v>
      </c>
      <c r="C40" s="73" t="s">
        <v>88</v>
      </c>
      <c r="D40" s="89">
        <f>1/2</f>
        <v>0.5</v>
      </c>
      <c r="E40" s="88">
        <v>160.53</v>
      </c>
      <c r="F40" s="89">
        <f>E40*D40</f>
        <v>80.265000000000001</v>
      </c>
    </row>
    <row r="41" spans="1:6">
      <c r="A41" s="122"/>
      <c r="B41" s="59" t="s">
        <v>264</v>
      </c>
      <c r="C41" s="81"/>
      <c r="D41" s="75"/>
      <c r="E41" s="88"/>
      <c r="F41" s="89"/>
    </row>
    <row r="42" spans="1:6" ht="14.25">
      <c r="A42" s="84" t="s">
        <v>458</v>
      </c>
      <c r="B42" s="137" t="s">
        <v>16</v>
      </c>
      <c r="C42" s="239"/>
      <c r="D42" s="153"/>
      <c r="E42" s="88"/>
      <c r="F42" s="163">
        <f>F44</f>
        <v>23.993333333333332</v>
      </c>
    </row>
    <row r="43" spans="1:6">
      <c r="A43" s="76" t="s">
        <v>459</v>
      </c>
      <c r="B43" s="59" t="s">
        <v>265</v>
      </c>
      <c r="C43" s="73"/>
      <c r="D43" s="156"/>
      <c r="E43" s="88"/>
      <c r="F43" s="89"/>
    </row>
    <row r="44" spans="1:6">
      <c r="A44" s="122"/>
      <c r="B44" s="59" t="s">
        <v>252</v>
      </c>
      <c r="C44" s="73" t="s">
        <v>88</v>
      </c>
      <c r="D44" s="156">
        <f>2/3</f>
        <v>0.66666666666666663</v>
      </c>
      <c r="E44" s="88">
        <v>35.99</v>
      </c>
      <c r="F44" s="89">
        <f>E44*D44</f>
        <v>23.993333333333332</v>
      </c>
    </row>
    <row r="45" spans="1:6" ht="14.25">
      <c r="A45" s="84" t="s">
        <v>465</v>
      </c>
      <c r="B45" s="137" t="s">
        <v>17</v>
      </c>
      <c r="C45" s="239"/>
      <c r="D45" s="153"/>
      <c r="E45" s="88"/>
      <c r="F45" s="163">
        <f>F46</f>
        <v>356.22</v>
      </c>
    </row>
    <row r="46" spans="1:6">
      <c r="A46" s="76" t="s">
        <v>486</v>
      </c>
      <c r="B46" s="59" t="s">
        <v>576</v>
      </c>
      <c r="C46" s="73" t="s">
        <v>335</v>
      </c>
      <c r="D46" s="125">
        <f>1/1</f>
        <v>1</v>
      </c>
      <c r="E46" s="88">
        <v>356.22</v>
      </c>
      <c r="F46" s="89">
        <f>E46*D46</f>
        <v>356.22</v>
      </c>
    </row>
    <row r="47" spans="1:6" ht="14.25">
      <c r="A47" s="84" t="s">
        <v>466</v>
      </c>
      <c r="B47" s="137" t="s">
        <v>18</v>
      </c>
      <c r="C47" s="239"/>
      <c r="D47" s="241"/>
      <c r="E47" s="88"/>
      <c r="F47" s="163">
        <f>F48</f>
        <v>291.05</v>
      </c>
    </row>
    <row r="48" spans="1:6">
      <c r="A48" s="76" t="s">
        <v>467</v>
      </c>
      <c r="B48" s="59" t="s">
        <v>255</v>
      </c>
      <c r="C48" s="73" t="s">
        <v>335</v>
      </c>
      <c r="D48" s="125">
        <f>1/1</f>
        <v>1</v>
      </c>
      <c r="E48" s="88">
        <v>291.05</v>
      </c>
      <c r="F48" s="89">
        <f>E48*D48</f>
        <v>291.05</v>
      </c>
    </row>
    <row r="49" spans="1:6" ht="14.25">
      <c r="A49" s="84" t="s">
        <v>469</v>
      </c>
      <c r="B49" s="137" t="s">
        <v>19</v>
      </c>
      <c r="C49" s="239"/>
      <c r="D49" s="241"/>
      <c r="E49" s="88"/>
      <c r="F49" s="163">
        <f>F50</f>
        <v>259.58</v>
      </c>
    </row>
    <row r="50" spans="1:6">
      <c r="A50" s="76" t="s">
        <v>523</v>
      </c>
      <c r="B50" s="59" t="s">
        <v>26</v>
      </c>
      <c r="C50" s="73" t="s">
        <v>335</v>
      </c>
      <c r="D50" s="125">
        <f>1/1</f>
        <v>1</v>
      </c>
      <c r="E50" s="88">
        <v>259.58</v>
      </c>
      <c r="F50" s="89">
        <f>E50*D50</f>
        <v>259.58</v>
      </c>
    </row>
    <row r="51" spans="1:6" ht="14.25">
      <c r="A51" s="84" t="s">
        <v>470</v>
      </c>
      <c r="B51" s="137" t="s">
        <v>29</v>
      </c>
      <c r="C51" s="73" t="s">
        <v>335</v>
      </c>
      <c r="D51" s="125">
        <f>1/1</f>
        <v>1</v>
      </c>
      <c r="E51" s="88">
        <v>126.5</v>
      </c>
      <c r="F51" s="163">
        <f>E51*D51</f>
        <v>126.5</v>
      </c>
    </row>
    <row r="52" spans="1:6" ht="14.25">
      <c r="A52" s="84" t="s">
        <v>471</v>
      </c>
      <c r="B52" s="120" t="s">
        <v>256</v>
      </c>
      <c r="C52" s="73" t="s">
        <v>335</v>
      </c>
      <c r="D52" s="125">
        <f>1/1</f>
        <v>1</v>
      </c>
      <c r="E52" s="88">
        <v>167.47</v>
      </c>
      <c r="F52" s="242">
        <f>E52*D52</f>
        <v>167.47</v>
      </c>
    </row>
    <row r="53" spans="1:6" ht="14.25">
      <c r="A53" s="243"/>
      <c r="B53" s="244" t="s">
        <v>300</v>
      </c>
      <c r="C53" s="203"/>
      <c r="D53" s="245"/>
      <c r="E53" s="176"/>
      <c r="F53" s="414">
        <f>загальнос!$F$82</f>
        <v>2428.6516249354004</v>
      </c>
    </row>
    <row r="54" spans="1:6" ht="15.75">
      <c r="A54" s="246" t="s">
        <v>374</v>
      </c>
      <c r="B54" s="247"/>
      <c r="C54" s="59"/>
      <c r="D54" s="59"/>
      <c r="E54" s="59"/>
      <c r="F54" s="199">
        <f>F53+F13</f>
        <v>6244.4929999353999</v>
      </c>
    </row>
    <row r="55" spans="1:6" ht="15.75">
      <c r="A55" s="99" t="s">
        <v>375</v>
      </c>
      <c r="B55" s="100"/>
      <c r="C55" s="101"/>
      <c r="D55" s="101"/>
      <c r="E55" s="101"/>
      <c r="F55" s="201">
        <f>F54/12</f>
        <v>520.37441666128336</v>
      </c>
    </row>
    <row r="56" spans="1:6">
      <c r="E56" s="37"/>
    </row>
  </sheetData>
  <mergeCells count="2">
    <mergeCell ref="A1:F1"/>
    <mergeCell ref="A2:F2"/>
  </mergeCells>
  <phoneticPr fontId="30" type="noConversion"/>
  <pageMargins left="0.6" right="0.28000000000000003" top="0.72" bottom="0.28999999999999998" header="0.38" footer="0.5"/>
  <pageSetup paperSize="9" orientation="portrait" horizontalDpi="360" verticalDpi="36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Z58"/>
  <sheetViews>
    <sheetView topLeftCell="A7" zoomScale="75" workbookViewId="0">
      <selection activeCell="F55" sqref="F55:F57"/>
    </sheetView>
  </sheetViews>
  <sheetFormatPr defaultRowHeight="12.75"/>
  <cols>
    <col min="1" max="1" width="5.85546875" style="51" customWidth="1"/>
    <col min="2" max="2" width="41.140625" customWidth="1"/>
    <col min="3" max="3" width="8.140625" customWidth="1"/>
    <col min="4" max="4" width="18.28515625" customWidth="1"/>
    <col min="5" max="5" width="10.140625" customWidth="1"/>
    <col min="6" max="6" width="11.5703125" customWidth="1"/>
    <col min="7" max="7" width="5" customWidth="1"/>
    <col min="8" max="8" width="37.140625" customWidth="1"/>
    <col min="9" max="9" width="10.5703125" customWidth="1"/>
    <col min="10" max="10" width="15.42578125" customWidth="1"/>
    <col min="11" max="11" width="10.42578125" customWidth="1"/>
    <col min="12" max="12" width="16.42578125" customWidth="1"/>
    <col min="14" max="14" width="4.140625" customWidth="1"/>
    <col min="15" max="15" width="58.42578125" customWidth="1"/>
    <col min="16" max="16" width="13.28515625" customWidth="1"/>
    <col min="17" max="17" width="17.85546875" customWidth="1"/>
    <col min="18" max="18" width="10.28515625" customWidth="1"/>
    <col min="19" max="19" width="5.7109375" customWidth="1"/>
    <col min="20" max="20" width="50.28515625" customWidth="1"/>
    <col min="21" max="21" width="12.140625" customWidth="1"/>
    <col min="22" max="22" width="19.28515625" customWidth="1"/>
    <col min="24" max="24" width="5.85546875" customWidth="1"/>
    <col min="25" max="25" width="32.5703125" customWidth="1"/>
    <col min="26" max="26" width="17.28515625" customWidth="1"/>
    <col min="27" max="27" width="17.5703125" customWidth="1"/>
    <col min="29" max="29" width="4.85546875" customWidth="1"/>
    <col min="30" max="30" width="45.5703125" customWidth="1"/>
    <col min="31" max="31" width="15.28515625" customWidth="1"/>
    <col min="32" max="32" width="15.42578125" customWidth="1"/>
    <col min="34" max="34" width="5.5703125" customWidth="1"/>
    <col min="35" max="35" width="45.42578125" customWidth="1"/>
    <col min="36" max="36" width="10.85546875" customWidth="1"/>
    <col min="37" max="37" width="16.42578125" customWidth="1"/>
  </cols>
  <sheetData>
    <row r="1" spans="1:6" ht="14.25">
      <c r="A1" s="403" t="s">
        <v>415</v>
      </c>
      <c r="B1" s="403"/>
      <c r="C1" s="403"/>
      <c r="D1" s="403"/>
      <c r="E1" s="403"/>
      <c r="F1" s="403"/>
    </row>
    <row r="2" spans="1:6" ht="14.25">
      <c r="A2" s="404" t="s">
        <v>323</v>
      </c>
      <c r="B2" s="404"/>
      <c r="C2" s="404"/>
      <c r="D2" s="404"/>
      <c r="E2" s="404"/>
      <c r="F2" s="404"/>
    </row>
    <row r="3" spans="1:6">
      <c r="A3" s="248" t="s">
        <v>42</v>
      </c>
      <c r="B3" s="249"/>
      <c r="C3" s="106" t="s">
        <v>92</v>
      </c>
      <c r="D3" s="80" t="s">
        <v>238</v>
      </c>
      <c r="E3" s="108" t="s">
        <v>184</v>
      </c>
      <c r="F3" s="106" t="s">
        <v>107</v>
      </c>
    </row>
    <row r="4" spans="1:6">
      <c r="A4" s="248" t="s">
        <v>373</v>
      </c>
      <c r="B4" s="250" t="s">
        <v>309</v>
      </c>
      <c r="C4" s="106" t="s">
        <v>81</v>
      </c>
      <c r="D4" s="80" t="s">
        <v>240</v>
      </c>
      <c r="E4" s="106" t="s">
        <v>239</v>
      </c>
      <c r="F4" s="106" t="s">
        <v>105</v>
      </c>
    </row>
    <row r="5" spans="1:6">
      <c r="A5" s="251"/>
      <c r="B5" s="250" t="s">
        <v>112</v>
      </c>
      <c r="C5" s="106"/>
      <c r="D5" s="80" t="s">
        <v>241</v>
      </c>
      <c r="E5" s="106" t="s">
        <v>95</v>
      </c>
      <c r="F5" s="106"/>
    </row>
    <row r="6" spans="1:6">
      <c r="A6" s="251"/>
      <c r="B6" s="252"/>
      <c r="C6" s="106"/>
      <c r="D6" s="80" t="s">
        <v>314</v>
      </c>
      <c r="E6" s="106" t="s">
        <v>666</v>
      </c>
      <c r="F6" s="106"/>
    </row>
    <row r="7" spans="1:6">
      <c r="A7" s="251"/>
      <c r="B7" s="253"/>
      <c r="C7" s="106"/>
      <c r="D7" s="80" t="s">
        <v>242</v>
      </c>
      <c r="E7" s="106" t="s">
        <v>665</v>
      </c>
      <c r="F7" s="106"/>
    </row>
    <row r="8" spans="1:6">
      <c r="A8" s="251"/>
      <c r="B8" s="253"/>
      <c r="C8" s="106"/>
      <c r="D8" s="80" t="s">
        <v>243</v>
      </c>
      <c r="E8" s="111"/>
      <c r="F8" s="106"/>
    </row>
    <row r="9" spans="1:6" ht="13.5" customHeight="1">
      <c r="A9" s="251"/>
      <c r="B9" s="253"/>
      <c r="C9" s="106"/>
      <c r="D9" s="254">
        <v>51.4</v>
      </c>
      <c r="E9" s="111"/>
      <c r="F9" s="106"/>
    </row>
    <row r="10" spans="1:6" ht="12.75" customHeight="1">
      <c r="A10" s="255"/>
      <c r="B10" s="256"/>
      <c r="C10" s="150"/>
      <c r="D10" s="257">
        <v>48.6</v>
      </c>
      <c r="E10" s="305" t="s">
        <v>655</v>
      </c>
      <c r="F10" s="150" t="s">
        <v>655</v>
      </c>
    </row>
    <row r="11" spans="1:6" ht="14.25">
      <c r="A11" s="76"/>
      <c r="B11" s="258" t="s">
        <v>301</v>
      </c>
      <c r="C11" s="105"/>
      <c r="D11" s="74"/>
      <c r="E11" s="75"/>
      <c r="F11" s="154">
        <f>F12+F14+F17+F27+F31+F35+F38+F41+F43+F45+F48+F49+F50</f>
        <v>4372.1344833333333</v>
      </c>
    </row>
    <row r="12" spans="1:6" ht="14.25">
      <c r="A12" s="84">
        <v>1</v>
      </c>
      <c r="B12" s="259" t="s">
        <v>10</v>
      </c>
      <c r="C12" s="260"/>
      <c r="D12" s="261"/>
      <c r="E12" s="163"/>
      <c r="F12" s="154">
        <f>F13</f>
        <v>323.95333333333332</v>
      </c>
    </row>
    <row r="13" spans="1:6">
      <c r="A13" s="76" t="s">
        <v>424</v>
      </c>
      <c r="B13" s="262" t="s">
        <v>577</v>
      </c>
      <c r="C13" s="103" t="s">
        <v>88</v>
      </c>
      <c r="D13" s="263">
        <f>1/3</f>
        <v>0.33333333333333331</v>
      </c>
      <c r="E13" s="89">
        <v>971.86</v>
      </c>
      <c r="F13" s="89">
        <f>E13*D13</f>
        <v>323.95333333333332</v>
      </c>
    </row>
    <row r="14" spans="1:6" ht="14.25">
      <c r="A14" s="84" t="s">
        <v>435</v>
      </c>
      <c r="B14" s="259" t="s">
        <v>578</v>
      </c>
      <c r="C14" s="193"/>
      <c r="D14" s="263"/>
      <c r="E14" s="89"/>
      <c r="F14" s="154">
        <f>F15</f>
        <v>323.95333333333332</v>
      </c>
    </row>
    <row r="15" spans="1:6">
      <c r="A15" s="76" t="s">
        <v>494</v>
      </c>
      <c r="B15" s="262" t="s">
        <v>579</v>
      </c>
      <c r="C15" s="103" t="s">
        <v>88</v>
      </c>
      <c r="D15" s="263">
        <f>1/3</f>
        <v>0.33333333333333331</v>
      </c>
      <c r="E15" s="89">
        <v>971.86</v>
      </c>
      <c r="F15" s="89">
        <f>E15*D15</f>
        <v>323.95333333333332</v>
      </c>
    </row>
    <row r="16" spans="1:6">
      <c r="A16" s="76"/>
      <c r="B16" s="262" t="s">
        <v>346</v>
      </c>
      <c r="C16" s="103"/>
      <c r="D16" s="263"/>
      <c r="E16" s="89"/>
      <c r="F16" s="89"/>
    </row>
    <row r="17" spans="1:78" ht="14.25">
      <c r="A17" s="84" t="s">
        <v>436</v>
      </c>
      <c r="B17" s="259" t="s">
        <v>20</v>
      </c>
      <c r="C17" s="193"/>
      <c r="D17" s="263"/>
      <c r="E17" s="89"/>
      <c r="F17" s="154">
        <f>F18+F19+F20+F21+F23+F24+F25+F26</f>
        <v>1084.2973999999999</v>
      </c>
    </row>
    <row r="18" spans="1:78">
      <c r="A18" s="76" t="s">
        <v>478</v>
      </c>
      <c r="B18" s="262" t="s">
        <v>245</v>
      </c>
      <c r="C18" s="103" t="s">
        <v>88</v>
      </c>
      <c r="D18" s="263">
        <f>1/2*$D$10/100</f>
        <v>0.24299999999999999</v>
      </c>
      <c r="E18" s="89">
        <v>420.54</v>
      </c>
      <c r="F18" s="89">
        <f>E18*D18</f>
        <v>102.19122</v>
      </c>
    </row>
    <row r="19" spans="1:78">
      <c r="A19" s="76" t="s">
        <v>479</v>
      </c>
      <c r="B19" s="262" t="s">
        <v>341</v>
      </c>
      <c r="C19" s="103" t="s">
        <v>88</v>
      </c>
      <c r="D19" s="156">
        <f>1/3*$D$10/100</f>
        <v>0.16200000000000001</v>
      </c>
      <c r="E19" s="89">
        <v>296.14</v>
      </c>
      <c r="F19" s="89">
        <f>E19*D19</f>
        <v>47.974679999999999</v>
      </c>
    </row>
    <row r="20" spans="1:78" s="12" customFormat="1" ht="15">
      <c r="A20" s="76" t="s">
        <v>480</v>
      </c>
      <c r="B20" s="262" t="s">
        <v>580</v>
      </c>
      <c r="C20" s="103" t="s">
        <v>88</v>
      </c>
      <c r="D20" s="156">
        <f>1/4*$D$10/100</f>
        <v>0.1215</v>
      </c>
      <c r="E20" s="89">
        <v>195.16</v>
      </c>
      <c r="F20" s="89">
        <f>E20*D20</f>
        <v>23.711939999999998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</row>
    <row r="21" spans="1:78" s="12" customFormat="1" ht="15">
      <c r="A21" s="76" t="s">
        <v>481</v>
      </c>
      <c r="B21" s="262" t="s">
        <v>246</v>
      </c>
      <c r="C21" s="103" t="s">
        <v>88</v>
      </c>
      <c r="D21" s="156">
        <f>3/3*$D$9/100</f>
        <v>0.51400000000000001</v>
      </c>
      <c r="E21" s="89">
        <v>257.66000000000003</v>
      </c>
      <c r="F21" s="89">
        <f>E21*D21</f>
        <v>132.43724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</row>
    <row r="22" spans="1:78">
      <c r="A22" s="76"/>
      <c r="B22" s="262" t="s">
        <v>603</v>
      </c>
      <c r="C22" s="103"/>
      <c r="D22" s="156"/>
      <c r="E22" s="89"/>
      <c r="F22" s="89"/>
    </row>
    <row r="23" spans="1:78">
      <c r="A23" s="76" t="s">
        <v>482</v>
      </c>
      <c r="B23" s="262" t="s">
        <v>247</v>
      </c>
      <c r="C23" s="103" t="s">
        <v>88</v>
      </c>
      <c r="D23" s="156">
        <f>1/1.5</f>
        <v>0.66666666666666663</v>
      </c>
      <c r="E23" s="89">
        <v>588.49</v>
      </c>
      <c r="F23" s="89">
        <f>E23*D23</f>
        <v>392.32666666666665</v>
      </c>
    </row>
    <row r="24" spans="1:78">
      <c r="A24" s="76" t="s">
        <v>483</v>
      </c>
      <c r="B24" s="262" t="s">
        <v>23</v>
      </c>
      <c r="C24" s="103" t="s">
        <v>88</v>
      </c>
      <c r="D24" s="156">
        <f>1/2*$D$9/100</f>
        <v>0.25700000000000001</v>
      </c>
      <c r="E24" s="89">
        <v>411.76</v>
      </c>
      <c r="F24" s="89">
        <f>E24*D24</f>
        <v>105.82232</v>
      </c>
    </row>
    <row r="25" spans="1:78">
      <c r="A25" s="76" t="s">
        <v>500</v>
      </c>
      <c r="B25" s="262" t="s">
        <v>376</v>
      </c>
      <c r="C25" s="103" t="s">
        <v>88</v>
      </c>
      <c r="D25" s="156">
        <f>1/3</f>
        <v>0.33333333333333331</v>
      </c>
      <c r="E25" s="89">
        <v>328.45</v>
      </c>
      <c r="F25" s="89">
        <f>E25*D25</f>
        <v>109.48333333333332</v>
      </c>
    </row>
    <row r="26" spans="1:78">
      <c r="A26" s="76" t="s">
        <v>501</v>
      </c>
      <c r="B26" s="262" t="s">
        <v>11</v>
      </c>
      <c r="C26" s="103" t="s">
        <v>88</v>
      </c>
      <c r="D26" s="89">
        <f>1/2</f>
        <v>0.5</v>
      </c>
      <c r="E26" s="89">
        <v>340.7</v>
      </c>
      <c r="F26" s="89">
        <f>E26*D26</f>
        <v>170.35</v>
      </c>
    </row>
    <row r="27" spans="1:78" ht="14.25">
      <c r="A27" s="123" t="s">
        <v>437</v>
      </c>
      <c r="B27" s="95" t="s">
        <v>12</v>
      </c>
      <c r="C27" s="189"/>
      <c r="D27" s="156"/>
      <c r="E27" s="89"/>
      <c r="F27" s="154">
        <f>F28+F29+F30</f>
        <v>433.57099999999997</v>
      </c>
    </row>
    <row r="28" spans="1:78">
      <c r="A28" s="76" t="s">
        <v>438</v>
      </c>
      <c r="B28" s="62" t="s">
        <v>13</v>
      </c>
      <c r="C28" s="73" t="s">
        <v>88</v>
      </c>
      <c r="D28" s="89">
        <f>5/2</f>
        <v>2.5</v>
      </c>
      <c r="E28" s="89">
        <v>38.58</v>
      </c>
      <c r="F28" s="89">
        <f>E28*D28</f>
        <v>96.449999999999989</v>
      </c>
    </row>
    <row r="29" spans="1:78">
      <c r="A29" s="76" t="s">
        <v>439</v>
      </c>
      <c r="B29" s="62" t="s">
        <v>575</v>
      </c>
      <c r="C29" s="73" t="s">
        <v>88</v>
      </c>
      <c r="D29" s="89">
        <f>5/2</f>
        <v>2.5</v>
      </c>
      <c r="E29" s="89">
        <v>125.65</v>
      </c>
      <c r="F29" s="89">
        <f>E29*D29</f>
        <v>314.125</v>
      </c>
    </row>
    <row r="30" spans="1:78">
      <c r="A30" s="76" t="s">
        <v>440</v>
      </c>
      <c r="B30" s="62" t="s">
        <v>248</v>
      </c>
      <c r="C30" s="73" t="s">
        <v>88</v>
      </c>
      <c r="D30" s="89">
        <f>1/5</f>
        <v>0.2</v>
      </c>
      <c r="E30" s="89">
        <v>114.98</v>
      </c>
      <c r="F30" s="89">
        <f>E30*D30</f>
        <v>22.996000000000002</v>
      </c>
    </row>
    <row r="31" spans="1:78" ht="14.25">
      <c r="A31" s="84" t="s">
        <v>445</v>
      </c>
      <c r="B31" s="259" t="s">
        <v>14</v>
      </c>
      <c r="C31" s="193"/>
      <c r="D31" s="156"/>
      <c r="E31" s="89"/>
      <c r="F31" s="154">
        <f>F32+F33+F34</f>
        <v>97.692750000000018</v>
      </c>
    </row>
    <row r="32" spans="1:78">
      <c r="A32" s="76" t="s">
        <v>446</v>
      </c>
      <c r="B32" s="262" t="s">
        <v>249</v>
      </c>
      <c r="C32" s="103" t="s">
        <v>88</v>
      </c>
      <c r="D32" s="156">
        <f>3/2*$D$9/100</f>
        <v>0.77099999999999991</v>
      </c>
      <c r="E32" s="89">
        <v>16.010000000000002</v>
      </c>
      <c r="F32" s="89">
        <f>E32*D32</f>
        <v>12.34371</v>
      </c>
    </row>
    <row r="33" spans="1:6">
      <c r="A33" s="76" t="s">
        <v>447</v>
      </c>
      <c r="B33" s="262" t="s">
        <v>250</v>
      </c>
      <c r="C33" s="103" t="s">
        <v>88</v>
      </c>
      <c r="D33" s="156">
        <f>3/2*$D$10/100</f>
        <v>0.72900000000000009</v>
      </c>
      <c r="E33" s="89">
        <v>75.760000000000005</v>
      </c>
      <c r="F33" s="89">
        <f>E33*D33</f>
        <v>55.229040000000012</v>
      </c>
    </row>
    <row r="34" spans="1:6">
      <c r="A34" s="76" t="s">
        <v>448</v>
      </c>
      <c r="B34" s="262" t="s">
        <v>227</v>
      </c>
      <c r="C34" s="103" t="s">
        <v>88</v>
      </c>
      <c r="D34" s="156">
        <f>1/3</f>
        <v>0.33333333333333331</v>
      </c>
      <c r="E34" s="89">
        <v>90.36</v>
      </c>
      <c r="F34" s="89">
        <f>E34*D34</f>
        <v>30.119999999999997</v>
      </c>
    </row>
    <row r="35" spans="1:6" ht="14.25">
      <c r="A35" s="84" t="s">
        <v>452</v>
      </c>
      <c r="B35" s="259" t="s">
        <v>15</v>
      </c>
      <c r="C35" s="193"/>
      <c r="D35" s="156"/>
      <c r="E35" s="89"/>
      <c r="F35" s="154">
        <f>F36</f>
        <v>53.51</v>
      </c>
    </row>
    <row r="36" spans="1:6">
      <c r="A36" s="76" t="s">
        <v>513</v>
      </c>
      <c r="B36" s="262" t="s">
        <v>251</v>
      </c>
      <c r="C36" s="103" t="s">
        <v>88</v>
      </c>
      <c r="D36" s="156">
        <f>1/3</f>
        <v>0.33333333333333331</v>
      </c>
      <c r="E36" s="89">
        <v>160.53</v>
      </c>
      <c r="F36" s="89">
        <f>E36*D36</f>
        <v>53.51</v>
      </c>
    </row>
    <row r="37" spans="1:6">
      <c r="A37" s="122"/>
      <c r="B37" s="62" t="s">
        <v>264</v>
      </c>
      <c r="C37" s="167"/>
      <c r="D37" s="156"/>
      <c r="E37" s="89"/>
      <c r="F37" s="89"/>
    </row>
    <row r="38" spans="1:6" ht="14.25">
      <c r="A38" s="84" t="s">
        <v>453</v>
      </c>
      <c r="B38" s="137" t="s">
        <v>16</v>
      </c>
      <c r="C38" s="239"/>
      <c r="D38" s="264"/>
      <c r="E38" s="89"/>
      <c r="F38" s="154">
        <f>F39</f>
        <v>11.996666666666666</v>
      </c>
    </row>
    <row r="39" spans="1:6">
      <c r="A39" s="76" t="s">
        <v>454</v>
      </c>
      <c r="B39" s="59" t="s">
        <v>253</v>
      </c>
      <c r="C39" s="73" t="s">
        <v>88</v>
      </c>
      <c r="D39" s="264">
        <f>1/3</f>
        <v>0.33333333333333331</v>
      </c>
      <c r="E39" s="89">
        <v>35.99</v>
      </c>
      <c r="F39" s="89">
        <f>E39*D39</f>
        <v>11.996666666666666</v>
      </c>
    </row>
    <row r="40" spans="1:6">
      <c r="A40" s="122"/>
      <c r="B40" s="62" t="s">
        <v>252</v>
      </c>
      <c r="C40" s="167"/>
      <c r="D40" s="263"/>
      <c r="E40" s="89"/>
      <c r="F40" s="89"/>
    </row>
    <row r="41" spans="1:6" ht="14.25">
      <c r="A41" s="84" t="s">
        <v>458</v>
      </c>
      <c r="B41" s="259" t="s">
        <v>17</v>
      </c>
      <c r="C41" s="193"/>
      <c r="D41" s="263"/>
      <c r="E41" s="89"/>
      <c r="F41" s="154">
        <f>F42</f>
        <v>496.75</v>
      </c>
    </row>
    <row r="42" spans="1:6">
      <c r="A42" s="76" t="s">
        <v>459</v>
      </c>
      <c r="B42" s="262" t="s">
        <v>254</v>
      </c>
      <c r="C42" s="103" t="s">
        <v>335</v>
      </c>
      <c r="D42" s="196">
        <f>1/2</f>
        <v>0.5</v>
      </c>
      <c r="E42" s="89">
        <v>993.5</v>
      </c>
      <c r="F42" s="89">
        <f>E42*D42</f>
        <v>496.75</v>
      </c>
    </row>
    <row r="43" spans="1:6" ht="14.25">
      <c r="A43" s="84" t="s">
        <v>465</v>
      </c>
      <c r="B43" s="259" t="s">
        <v>18</v>
      </c>
      <c r="C43" s="103"/>
      <c r="D43" s="265"/>
      <c r="E43" s="89"/>
      <c r="F43" s="154">
        <f>F44</f>
        <v>196.93</v>
      </c>
    </row>
    <row r="44" spans="1:6">
      <c r="A44" s="76" t="s">
        <v>486</v>
      </c>
      <c r="B44" s="262" t="s">
        <v>255</v>
      </c>
      <c r="C44" s="103" t="s">
        <v>335</v>
      </c>
      <c r="D44" s="196">
        <f>1/2</f>
        <v>0.5</v>
      </c>
      <c r="E44" s="89">
        <v>393.86</v>
      </c>
      <c r="F44" s="89">
        <f>E44*D44</f>
        <v>196.93</v>
      </c>
    </row>
    <row r="45" spans="1:6" ht="14.25">
      <c r="A45" s="84" t="s">
        <v>466</v>
      </c>
      <c r="B45" s="259" t="s">
        <v>19</v>
      </c>
      <c r="C45" s="103"/>
      <c r="D45" s="196"/>
      <c r="E45" s="89"/>
      <c r="F45" s="154">
        <f>F46+F47</f>
        <v>646.68499999999995</v>
      </c>
    </row>
    <row r="46" spans="1:6">
      <c r="A46" s="76" t="s">
        <v>467</v>
      </c>
      <c r="B46" s="262" t="s">
        <v>581</v>
      </c>
      <c r="C46" s="103" t="s">
        <v>335</v>
      </c>
      <c r="D46" s="196">
        <f>1/2</f>
        <v>0.5</v>
      </c>
      <c r="E46" s="89">
        <v>638.32000000000005</v>
      </c>
      <c r="F46" s="89">
        <f>E46*D46</f>
        <v>319.16000000000003</v>
      </c>
    </row>
    <row r="47" spans="1:6">
      <c r="A47" s="122" t="s">
        <v>468</v>
      </c>
      <c r="B47" s="62" t="s">
        <v>26</v>
      </c>
      <c r="C47" s="73" t="s">
        <v>335</v>
      </c>
      <c r="D47" s="196">
        <f>1/2</f>
        <v>0.5</v>
      </c>
      <c r="E47" s="89">
        <v>655.04999999999995</v>
      </c>
      <c r="F47" s="89">
        <f>E47*D47</f>
        <v>327.52499999999998</v>
      </c>
    </row>
    <row r="48" spans="1:6" ht="14.25">
      <c r="A48" s="84" t="s">
        <v>469</v>
      </c>
      <c r="B48" s="137" t="s">
        <v>29</v>
      </c>
      <c r="C48" s="73" t="s">
        <v>335</v>
      </c>
      <c r="D48" s="196">
        <f>1/2</f>
        <v>0.5</v>
      </c>
      <c r="E48" s="89">
        <v>126.5</v>
      </c>
      <c r="F48" s="154">
        <f>E48*D48</f>
        <v>63.25</v>
      </c>
    </row>
    <row r="49" spans="1:6" ht="14.25">
      <c r="A49" s="84" t="s">
        <v>470</v>
      </c>
      <c r="B49" s="137" t="s">
        <v>256</v>
      </c>
      <c r="C49" s="73" t="s">
        <v>335</v>
      </c>
      <c r="D49" s="89">
        <f>1/2</f>
        <v>0.5</v>
      </c>
      <c r="E49" s="89">
        <v>167.47</v>
      </c>
      <c r="F49" s="154">
        <f>E49*D49</f>
        <v>83.734999999999999</v>
      </c>
    </row>
    <row r="50" spans="1:6" ht="14.25">
      <c r="A50" s="84" t="s">
        <v>471</v>
      </c>
      <c r="B50" s="95" t="s">
        <v>582</v>
      </c>
      <c r="C50" s="167"/>
      <c r="D50" s="156"/>
      <c r="E50" s="89"/>
      <c r="F50" s="154">
        <f>F51+F52+F53+F54</f>
        <v>555.80999999999995</v>
      </c>
    </row>
    <row r="51" spans="1:6">
      <c r="A51" s="122" t="s">
        <v>524</v>
      </c>
      <c r="B51" s="62" t="s">
        <v>583</v>
      </c>
      <c r="C51" s="73" t="s">
        <v>88</v>
      </c>
      <c r="D51" s="89">
        <f>1/2</f>
        <v>0.5</v>
      </c>
      <c r="E51" s="89">
        <v>256.14</v>
      </c>
      <c r="F51" s="89">
        <f>E51*D51</f>
        <v>128.07</v>
      </c>
    </row>
    <row r="52" spans="1:6">
      <c r="A52" s="122" t="s">
        <v>525</v>
      </c>
      <c r="B52" s="62" t="s">
        <v>584</v>
      </c>
      <c r="C52" s="73" t="s">
        <v>88</v>
      </c>
      <c r="D52" s="125">
        <f>50/1</f>
        <v>50</v>
      </c>
      <c r="E52" s="89">
        <v>4.8499999999999996</v>
      </c>
      <c r="F52" s="89">
        <f>E52*D52</f>
        <v>242.49999999999997</v>
      </c>
    </row>
    <row r="53" spans="1:6">
      <c r="A53" s="122" t="s">
        <v>526</v>
      </c>
      <c r="B53" s="81" t="s">
        <v>585</v>
      </c>
      <c r="C53" s="73" t="s">
        <v>88</v>
      </c>
      <c r="D53" s="125">
        <f>10/1</f>
        <v>10</v>
      </c>
      <c r="E53" s="89">
        <v>6.15</v>
      </c>
      <c r="F53" s="89">
        <f>E53*D53</f>
        <v>61.5</v>
      </c>
    </row>
    <row r="54" spans="1:6">
      <c r="A54" s="122" t="s">
        <v>527</v>
      </c>
      <c r="B54" s="81" t="s">
        <v>586</v>
      </c>
      <c r="C54" s="73" t="s">
        <v>88</v>
      </c>
      <c r="D54" s="125">
        <f>2/1</f>
        <v>2</v>
      </c>
      <c r="E54" s="89">
        <v>61.87</v>
      </c>
      <c r="F54" s="89">
        <f>E54*D54</f>
        <v>123.74</v>
      </c>
    </row>
    <row r="55" spans="1:6" ht="15">
      <c r="A55" s="266"/>
      <c r="B55" s="244" t="s">
        <v>299</v>
      </c>
      <c r="C55" s="267"/>
      <c r="D55" s="267"/>
      <c r="E55" s="267"/>
      <c r="F55" s="414">
        <f>загальнос!$F$82</f>
        <v>2428.6516249354004</v>
      </c>
    </row>
    <row r="56" spans="1:6" ht="15">
      <c r="A56" s="92" t="s">
        <v>374</v>
      </c>
      <c r="B56" s="240"/>
      <c r="C56" s="240"/>
      <c r="D56" s="240"/>
      <c r="E56" s="240"/>
      <c r="F56" s="199">
        <f>F55+F11</f>
        <v>6800.7861082687341</v>
      </c>
    </row>
    <row r="57" spans="1:6" ht="15">
      <c r="A57" s="140" t="s">
        <v>375</v>
      </c>
      <c r="B57" s="268"/>
      <c r="C57" s="268"/>
      <c r="D57" s="268"/>
      <c r="E57" s="268"/>
      <c r="F57" s="201">
        <f>F56/12</f>
        <v>566.73217568906114</v>
      </c>
    </row>
    <row r="58" spans="1:6" ht="14.25">
      <c r="A58" s="52"/>
      <c r="B58" s="31"/>
      <c r="C58" s="31"/>
      <c r="D58" s="31"/>
      <c r="E58" s="31"/>
      <c r="F58" s="31"/>
    </row>
  </sheetData>
  <mergeCells count="2">
    <mergeCell ref="A1:F1"/>
    <mergeCell ref="A2:F2"/>
  </mergeCells>
  <phoneticPr fontId="30" type="noConversion"/>
  <pageMargins left="0.51" right="0.28000000000000003" top="0.47" bottom="0.65" header="0.36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прожитковий</vt:lpstr>
      <vt:lpstr>структура 2016</vt:lpstr>
      <vt:lpstr> 06(проди)</vt:lpstr>
      <vt:lpstr>618(проди)</vt:lpstr>
      <vt:lpstr>прац(проди)</vt:lpstr>
      <vt:lpstr>пенс(проди)</vt:lpstr>
      <vt:lpstr>загальнос</vt:lpstr>
      <vt:lpstr>0-6(непроди)</vt:lpstr>
      <vt:lpstr>6-18(непроди)</vt:lpstr>
      <vt:lpstr>прац(непроди)</vt:lpstr>
      <vt:lpstr>пен(непроди)</vt:lpstr>
      <vt:lpstr>газ</vt:lpstr>
      <vt:lpstr>ком(послуги)</vt:lpstr>
      <vt:lpstr>побутові</vt:lpstr>
      <vt:lpstr>транспорт</vt:lpstr>
      <vt:lpstr>'6-18(непроди)'!Область_печати</vt:lpstr>
      <vt:lpstr>'618(проди)'!Область_печати</vt:lpstr>
      <vt:lpstr>газ!Область_печати</vt:lpstr>
      <vt:lpstr>'ком(послуги)'!Область_печати</vt:lpstr>
      <vt:lpstr>'пенс(проди)'!Область_печати</vt:lpstr>
      <vt:lpstr>побутові!Область_печати</vt:lpstr>
      <vt:lpstr>'прац(непроди)'!Область_печати</vt:lpstr>
      <vt:lpstr>'прац(проди)'!Область_печати</vt:lpstr>
      <vt:lpstr>'структура 2016'!Область_печати</vt:lpstr>
      <vt:lpstr>транспорт!Область_печати</vt:lpstr>
    </vt:vector>
  </TitlesOfParts>
  <Company>MTSP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OUSZN</dc:creator>
  <cp:lastModifiedBy>o.p.kirichenko</cp:lastModifiedBy>
  <cp:lastPrinted>2016-05-16T11:54:04Z</cp:lastPrinted>
  <dcterms:created xsi:type="dcterms:W3CDTF">1999-05-27T08:49:02Z</dcterms:created>
  <dcterms:modified xsi:type="dcterms:W3CDTF">2017-02-15T17:22:05Z</dcterms:modified>
</cp:coreProperties>
</file>