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400" windowHeight="12915" tabRatio="623" activeTab="7"/>
  </bookViews>
  <sheets>
    <sheet name="прожитковий" sheetId="21" r:id="rId1"/>
    <sheet name="структура 2016" sheetId="49" r:id="rId2"/>
    <sheet name=" 06(проди)" sheetId="19" r:id="rId3"/>
    <sheet name="618(проди)" sheetId="20" r:id="rId4"/>
    <sheet name="прац(проди)" sheetId="11" r:id="rId5"/>
    <sheet name="пенс(проди)" sheetId="12" r:id="rId6"/>
    <sheet name="загальнос" sheetId="7" r:id="rId7"/>
    <sheet name="0-6(непроди)" sheetId="18" r:id="rId8"/>
    <sheet name="6-18(непроди)" sheetId="17" r:id="rId9"/>
    <sheet name="прац(непроди)" sheetId="14" r:id="rId10"/>
    <sheet name="пен(непроди)" sheetId="13" r:id="rId11"/>
    <sheet name="газ" sheetId="50" r:id="rId12"/>
    <sheet name="ком(послуги)" sheetId="22" r:id="rId13"/>
    <sheet name="побутові" sheetId="26" r:id="rId14"/>
    <sheet name="транспорт" sheetId="25" r:id="rId15"/>
  </sheets>
  <definedNames>
    <definedName name="_xlnm.Print_Area" localSheetId="2">' 06(проди)'!#REF!</definedName>
    <definedName name="_xlnm.Print_Area" localSheetId="7">'0-6(непроди)'!#REF!</definedName>
    <definedName name="_xlnm.Print_Area" localSheetId="8">'6-18(непроди)'!$A$1:$F$57</definedName>
    <definedName name="_xlnm.Print_Area" localSheetId="3">'618(проди)'!$A$1:$F$72</definedName>
    <definedName name="_xlnm.Print_Area" localSheetId="11">газ!$A$1:$F$42</definedName>
    <definedName name="_xlnm.Print_Area" localSheetId="6">загальнос!#REF!</definedName>
    <definedName name="_xlnm.Print_Area" localSheetId="12">'ком(послуги)'!$A$1:$G$46</definedName>
    <definedName name="_xlnm.Print_Area" localSheetId="5">'пенс(проди)'!$A$1:$F$57</definedName>
    <definedName name="_xlnm.Print_Area" localSheetId="13">побутові!$A$1:$L$26</definedName>
    <definedName name="_xlnm.Print_Area" localSheetId="9">'прац(непроди)'!$A$1:$F$75</definedName>
    <definedName name="_xlnm.Print_Area" localSheetId="4">'прац(проди)'!$A$1:$F$58</definedName>
    <definedName name="_xlnm.Print_Area" localSheetId="0">прожитковий!#REF!</definedName>
    <definedName name="_xlnm.Print_Area" localSheetId="1">'структура 2016'!$A$4:$H$29</definedName>
    <definedName name="_xlnm.Print_Area" localSheetId="14">транспорт!$A$1:$K$22</definedName>
  </definedNames>
  <calcPr calcId="125725"/>
</workbook>
</file>

<file path=xl/calcChain.xml><?xml version="1.0" encoding="utf-8"?>
<calcChain xmlns="http://schemas.openxmlformats.org/spreadsheetml/2006/main">
  <c r="E55" i="12"/>
  <c r="E56" i="11"/>
  <c r="E47" i="20"/>
  <c r="E47" i="19"/>
  <c r="E32" i="20" l="1"/>
  <c r="E32" i="19"/>
  <c r="E65" i="20"/>
  <c r="E64"/>
  <c r="E59"/>
  <c r="E58"/>
  <c r="E57"/>
  <c r="E55"/>
  <c r="E44"/>
  <c r="E35"/>
  <c r="E48" i="11"/>
  <c r="E44"/>
  <c r="E41"/>
  <c r="E33"/>
  <c r="E29"/>
  <c r="E25"/>
  <c r="E24"/>
  <c r="E23"/>
  <c r="E51" i="12"/>
  <c r="E45"/>
  <c r="E42"/>
  <c r="E35"/>
  <c r="E33"/>
  <c r="E29"/>
  <c r="E28"/>
  <c r="E27"/>
  <c r="C17" i="25"/>
  <c r="D23" i="26"/>
  <c r="E42" i="22"/>
  <c r="E65" i="19"/>
  <c r="E64"/>
  <c r="E59"/>
  <c r="E58"/>
  <c r="E57"/>
  <c r="E55"/>
  <c r="E44"/>
  <c r="E35"/>
  <c r="F66"/>
  <c r="F45"/>
  <c r="F29" i="22"/>
  <c r="G29" s="1"/>
  <c r="F9" i="11"/>
  <c r="F10"/>
  <c r="F11"/>
  <c r="F12"/>
  <c r="F13"/>
  <c r="F14"/>
  <c r="F15"/>
  <c r="F16"/>
  <c r="F17"/>
  <c r="F18"/>
  <c r="F19"/>
  <c r="F20"/>
  <c r="F22"/>
  <c r="F23"/>
  <c r="F24"/>
  <c r="F25"/>
  <c r="F26"/>
  <c r="F29"/>
  <c r="F30"/>
  <c r="F32"/>
  <c r="F33"/>
  <c r="F34"/>
  <c r="F35"/>
  <c r="F37"/>
  <c r="F38"/>
  <c r="F39"/>
  <c r="F40"/>
  <c r="F41"/>
  <c r="F42"/>
  <c r="F43"/>
  <c r="F44"/>
  <c r="F46"/>
  <c r="F47"/>
  <c r="F48"/>
  <c r="F50"/>
  <c r="F51"/>
  <c r="F52"/>
  <c r="F53"/>
  <c r="F54"/>
  <c r="F55"/>
  <c r="F56"/>
  <c r="D15" i="7"/>
  <c r="D48"/>
  <c r="F10" i="22"/>
  <c r="G10" s="1"/>
  <c r="F14"/>
  <c r="F17"/>
  <c r="G17"/>
  <c r="F20"/>
  <c r="G20"/>
  <c r="F15"/>
  <c r="F18"/>
  <c r="G18" s="1"/>
  <c r="F21"/>
  <c r="G21" s="1"/>
  <c r="J12" i="25"/>
  <c r="K14" i="26"/>
  <c r="J16"/>
  <c r="K18"/>
  <c r="K23"/>
  <c r="F34" i="22"/>
  <c r="G34" s="1"/>
  <c r="F12" i="19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4"/>
  <c r="F35"/>
  <c r="F36"/>
  <c r="F37"/>
  <c r="F38"/>
  <c r="F39"/>
  <c r="F40"/>
  <c r="F41"/>
  <c r="F42"/>
  <c r="F43"/>
  <c r="F44"/>
  <c r="F46"/>
  <c r="F47"/>
  <c r="F49"/>
  <c r="F50"/>
  <c r="F51"/>
  <c r="F52"/>
  <c r="F53"/>
  <c r="F55"/>
  <c r="F56"/>
  <c r="F57"/>
  <c r="F58"/>
  <c r="F59"/>
  <c r="F60"/>
  <c r="F61"/>
  <c r="F62"/>
  <c r="F64"/>
  <c r="F65"/>
  <c r="F67"/>
  <c r="F68"/>
  <c r="F69"/>
  <c r="F70"/>
  <c r="F12" i="20"/>
  <c r="F13"/>
  <c r="F14"/>
  <c r="F15"/>
  <c r="F16"/>
  <c r="F17"/>
  <c r="F18"/>
  <c r="F19"/>
  <c r="F20"/>
  <c r="F21"/>
  <c r="F22"/>
  <c r="F23"/>
  <c r="F24"/>
  <c r="F26"/>
  <c r="F27"/>
  <c r="F28"/>
  <c r="F29"/>
  <c r="F30"/>
  <c r="F31"/>
  <c r="F34"/>
  <c r="F35"/>
  <c r="F36"/>
  <c r="F37"/>
  <c r="F38"/>
  <c r="F39"/>
  <c r="F40"/>
  <c r="F41"/>
  <c r="F42"/>
  <c r="F43"/>
  <c r="F44"/>
  <c r="F45"/>
  <c r="F46"/>
  <c r="F47"/>
  <c r="F49"/>
  <c r="F50"/>
  <c r="F51"/>
  <c r="F52"/>
  <c r="F53"/>
  <c r="F55"/>
  <c r="F56"/>
  <c r="F57"/>
  <c r="F58"/>
  <c r="F59"/>
  <c r="F60"/>
  <c r="F61"/>
  <c r="F62"/>
  <c r="F64"/>
  <c r="F65"/>
  <c r="F66"/>
  <c r="F67"/>
  <c r="F68"/>
  <c r="F69"/>
  <c r="F70"/>
  <c r="F13" i="17"/>
  <c r="F12"/>
  <c r="F18"/>
  <c r="F20"/>
  <c r="F23"/>
  <c r="F25"/>
  <c r="F28"/>
  <c r="F30"/>
  <c r="F33"/>
  <c r="F36"/>
  <c r="F35"/>
  <c r="F46"/>
  <c r="F45" s="1"/>
  <c r="F51"/>
  <c r="F53"/>
  <c r="J23" i="26"/>
  <c r="F12" i="12"/>
  <c r="F13"/>
  <c r="F14"/>
  <c r="F15"/>
  <c r="F16"/>
  <c r="F17"/>
  <c r="F18"/>
  <c r="F19"/>
  <c r="F20"/>
  <c r="F21"/>
  <c r="F22"/>
  <c r="F23"/>
  <c r="F24"/>
  <c r="F26"/>
  <c r="F27"/>
  <c r="F28"/>
  <c r="F29"/>
  <c r="F30"/>
  <c r="F33"/>
  <c r="F34"/>
  <c r="F35"/>
  <c r="F36"/>
  <c r="F37"/>
  <c r="F39"/>
  <c r="F40"/>
  <c r="F41"/>
  <c r="F42"/>
  <c r="F43"/>
  <c r="F44"/>
  <c r="F45"/>
  <c r="F47"/>
  <c r="F48"/>
  <c r="F50"/>
  <c r="F51"/>
  <c r="F52"/>
  <c r="F53"/>
  <c r="F54"/>
  <c r="F55"/>
  <c r="F27" i="13"/>
  <c r="F29"/>
  <c r="F34"/>
  <c r="F57"/>
  <c r="F63"/>
  <c r="F66"/>
  <c r="F68"/>
  <c r="F70"/>
  <c r="L18" i="26"/>
  <c r="L19"/>
  <c r="F24" i="22"/>
  <c r="F25"/>
  <c r="G25" s="1"/>
  <c r="F27" i="50"/>
  <c r="D13" i="14"/>
  <c r="D14"/>
  <c r="D16"/>
  <c r="D17"/>
  <c r="D18"/>
  <c r="D20"/>
  <c r="D21"/>
  <c r="D22"/>
  <c r="D23"/>
  <c r="D25"/>
  <c r="D26"/>
  <c r="D27"/>
  <c r="D28"/>
  <c r="D29"/>
  <c r="D30"/>
  <c r="F30"/>
  <c r="D31"/>
  <c r="D32"/>
  <c r="D33"/>
  <c r="D35"/>
  <c r="D36"/>
  <c r="D37"/>
  <c r="D38"/>
  <c r="D39"/>
  <c r="D40"/>
  <c r="D41"/>
  <c r="D42"/>
  <c r="D44"/>
  <c r="F44"/>
  <c r="D45"/>
  <c r="D46"/>
  <c r="F46"/>
  <c r="D48"/>
  <c r="D49"/>
  <c r="D51"/>
  <c r="D53"/>
  <c r="D55"/>
  <c r="D56"/>
  <c r="F56"/>
  <c r="D59"/>
  <c r="D60"/>
  <c r="D62"/>
  <c r="D63"/>
  <c r="D65"/>
  <c r="D66"/>
  <c r="F66"/>
  <c r="D67"/>
  <c r="D68"/>
  <c r="F68"/>
  <c r="D69"/>
  <c r="D70"/>
  <c r="F70"/>
  <c r="D71"/>
  <c r="C14" i="50"/>
  <c r="F14"/>
  <c r="C17"/>
  <c r="F17"/>
  <c r="F23"/>
  <c r="D34" i="18"/>
  <c r="D32"/>
  <c r="D33"/>
  <c r="D15"/>
  <c r="D18"/>
  <c r="D20"/>
  <c r="D22"/>
  <c r="D24"/>
  <c r="D26"/>
  <c r="D27"/>
  <c r="F27"/>
  <c r="D28"/>
  <c r="D29"/>
  <c r="D36"/>
  <c r="D37"/>
  <c r="F37"/>
  <c r="D38"/>
  <c r="D40"/>
  <c r="D44"/>
  <c r="D46"/>
  <c r="D48"/>
  <c r="D50"/>
  <c r="D51"/>
  <c r="D52"/>
  <c r="F52"/>
  <c r="D28" i="17"/>
  <c r="D29"/>
  <c r="D30"/>
  <c r="D32"/>
  <c r="D33"/>
  <c r="D34"/>
  <c r="D36"/>
  <c r="D39"/>
  <c r="D48"/>
  <c r="D49"/>
  <c r="D13"/>
  <c r="D15"/>
  <c r="D18"/>
  <c r="D19"/>
  <c r="D20"/>
  <c r="D21"/>
  <c r="D23"/>
  <c r="D24"/>
  <c r="D25"/>
  <c r="D26"/>
  <c r="F26"/>
  <c r="D42"/>
  <c r="D44"/>
  <c r="D46"/>
  <c r="D47"/>
  <c r="F47"/>
  <c r="D51"/>
  <c r="D52"/>
  <c r="D53"/>
  <c r="D54"/>
  <c r="D19" i="13"/>
  <c r="D18"/>
  <c r="D20"/>
  <c r="D15"/>
  <c r="F15"/>
  <c r="D16"/>
  <c r="D22"/>
  <c r="D23"/>
  <c r="D24"/>
  <c r="D25"/>
  <c r="D27"/>
  <c r="D28"/>
  <c r="D29"/>
  <c r="D30"/>
  <c r="F30"/>
  <c r="D31"/>
  <c r="D32"/>
  <c r="F32"/>
  <c r="D33"/>
  <c r="F33"/>
  <c r="D34"/>
  <c r="D35"/>
  <c r="F35"/>
  <c r="D37"/>
  <c r="D38"/>
  <c r="D39"/>
  <c r="D40"/>
  <c r="D41"/>
  <c r="D42"/>
  <c r="D44"/>
  <c r="D45"/>
  <c r="D46"/>
  <c r="D48"/>
  <c r="D49"/>
  <c r="D51"/>
  <c r="D52"/>
  <c r="D54"/>
  <c r="D56"/>
  <c r="D57"/>
  <c r="D60"/>
  <c r="F60"/>
  <c r="D61"/>
  <c r="F61"/>
  <c r="F59" s="1"/>
  <c r="D63"/>
  <c r="D64"/>
  <c r="D66"/>
  <c r="D67"/>
  <c r="D68"/>
  <c r="D69"/>
  <c r="D70"/>
  <c r="D71"/>
  <c r="C64" i="21"/>
  <c r="C32" i="50"/>
  <c r="B14" i="49"/>
  <c r="H14" s="1"/>
  <c r="H15" s="1"/>
  <c r="B16"/>
  <c r="B21"/>
  <c r="G21" s="1"/>
  <c r="G22" s="1"/>
  <c r="B24"/>
  <c r="G14"/>
  <c r="G15" s="1"/>
  <c r="H16"/>
  <c r="H17" s="1"/>
  <c r="C18"/>
  <c r="D18"/>
  <c r="G24"/>
  <c r="G26" s="1"/>
  <c r="H24"/>
  <c r="H26" s="1"/>
  <c r="C28"/>
  <c r="D28"/>
  <c r="C61" i="21"/>
  <c r="E61"/>
  <c r="G61"/>
  <c r="I61"/>
  <c r="E31" i="12"/>
  <c r="F31" s="1"/>
  <c r="E27" i="11"/>
  <c r="F27" s="1"/>
  <c r="B18" i="49"/>
  <c r="B28" s="1"/>
  <c r="G16"/>
  <c r="G17" s="1"/>
  <c r="F11" i="50"/>
  <c r="F35"/>
  <c r="F42"/>
  <c r="L23" i="26"/>
  <c r="L20"/>
  <c r="F54" i="13"/>
  <c r="F31"/>
  <c r="J21" i="26"/>
  <c r="J18"/>
  <c r="D79" i="7"/>
  <c r="F79"/>
  <c r="D76"/>
  <c r="F76"/>
  <c r="D73"/>
  <c r="F73"/>
  <c r="D71"/>
  <c r="D66"/>
  <c r="F66" s="1"/>
  <c r="D64"/>
  <c r="F64" s="1"/>
  <c r="D61"/>
  <c r="F61" s="1"/>
  <c r="D58"/>
  <c r="F58" s="1"/>
  <c r="D57"/>
  <c r="F57" s="1"/>
  <c r="D56"/>
  <c r="F56" s="1"/>
  <c r="D49"/>
  <c r="F49" s="1"/>
  <c r="D47"/>
  <c r="F47" s="1"/>
  <c r="D45"/>
  <c r="F45" s="1"/>
  <c r="D42"/>
  <c r="F42" s="1"/>
  <c r="D40"/>
  <c r="F40" s="1"/>
  <c r="D38"/>
  <c r="F38" s="1"/>
  <c r="D36"/>
  <c r="F36" s="1"/>
  <c r="D31"/>
  <c r="F31" s="1"/>
  <c r="D29"/>
  <c r="F29" s="1"/>
  <c r="D26"/>
  <c r="F26" s="1"/>
  <c r="D24"/>
  <c r="F24" s="1"/>
  <c r="D18"/>
  <c r="F18" s="1"/>
  <c r="D16"/>
  <c r="F16" s="1"/>
  <c r="D14"/>
  <c r="F14" s="1"/>
  <c r="L17" i="26"/>
  <c r="K17"/>
  <c r="K12"/>
  <c r="L12"/>
  <c r="J12"/>
  <c r="J25" s="1"/>
  <c r="J26" s="1"/>
  <c r="L11"/>
  <c r="K11"/>
  <c r="J11"/>
  <c r="E66" i="21"/>
  <c r="I66"/>
  <c r="C66"/>
  <c r="G66"/>
  <c r="C56"/>
  <c r="E56"/>
  <c r="G56"/>
  <c r="I56"/>
  <c r="K21" i="26"/>
  <c r="L21"/>
  <c r="J17" i="25"/>
  <c r="J21" s="1"/>
  <c r="J22" s="1"/>
  <c r="I17"/>
  <c r="D78" i="7"/>
  <c r="F78" s="1"/>
  <c r="D50"/>
  <c r="F50" s="1"/>
  <c r="D37"/>
  <c r="F37" s="1"/>
  <c r="D27"/>
  <c r="F27" s="1"/>
  <c r="G63" i="21"/>
  <c r="K20" i="26"/>
  <c r="J20"/>
  <c r="K16"/>
  <c r="L16"/>
  <c r="K13"/>
  <c r="K25"/>
  <c r="K26" s="1"/>
  <c r="L13"/>
  <c r="D11" i="7"/>
  <c r="F11"/>
  <c r="D12"/>
  <c r="F12"/>
  <c r="D13"/>
  <c r="F13"/>
  <c r="D17"/>
  <c r="F17"/>
  <c r="D23"/>
  <c r="F23"/>
  <c r="D25"/>
  <c r="F25"/>
  <c r="D30"/>
  <c r="F30"/>
  <c r="D39"/>
  <c r="F39" s="1"/>
  <c r="D41"/>
  <c r="F41" s="1"/>
  <c r="D46"/>
  <c r="F46" s="1"/>
  <c r="D65"/>
  <c r="F65" s="1"/>
  <c r="D67"/>
  <c r="F67" s="1"/>
  <c r="D75"/>
  <c r="F75" s="1"/>
  <c r="D80"/>
  <c r="F80" s="1"/>
  <c r="F23" i="22"/>
  <c r="G23"/>
  <c r="G24"/>
  <c r="F12"/>
  <c r="G12" s="1"/>
  <c r="G14"/>
  <c r="F13"/>
  <c r="G13" s="1"/>
  <c r="G15"/>
  <c r="I64" i="21"/>
  <c r="L14" i="26"/>
  <c r="L25"/>
  <c r="L26" s="1"/>
  <c r="I12" i="25"/>
  <c r="I21"/>
  <c r="I22" s="1"/>
  <c r="I23" i="26"/>
  <c r="I25" s="1"/>
  <c r="I26" s="1"/>
  <c r="E65" i="21"/>
  <c r="G65"/>
  <c r="C65"/>
  <c r="I65"/>
  <c r="C60"/>
  <c r="E60"/>
  <c r="G60"/>
  <c r="I60"/>
  <c r="G64"/>
  <c r="E63"/>
  <c r="F71" i="13"/>
  <c r="F69"/>
  <c r="F67"/>
  <c r="F64"/>
  <c r="F56"/>
  <c r="F58" s="1"/>
  <c r="F53" s="1"/>
  <c r="F51"/>
  <c r="F48"/>
  <c r="F45"/>
  <c r="F42"/>
  <c r="F40"/>
  <c r="F38"/>
  <c r="F28"/>
  <c r="F25"/>
  <c r="F23"/>
  <c r="F20"/>
  <c r="F17" s="1"/>
  <c r="F18"/>
  <c r="F62"/>
  <c r="F52"/>
  <c r="F49"/>
  <c r="F46"/>
  <c r="F44"/>
  <c r="F43" s="1"/>
  <c r="F41"/>
  <c r="F39"/>
  <c r="F37"/>
  <c r="F36"/>
  <c r="F24"/>
  <c r="F22"/>
  <c r="F19"/>
  <c r="F16"/>
  <c r="F14" s="1"/>
  <c r="F12" s="1"/>
  <c r="F63" i="14"/>
  <c r="F65"/>
  <c r="F62"/>
  <c r="F61" s="1"/>
  <c r="F71"/>
  <c r="F69"/>
  <c r="F67"/>
  <c r="F60"/>
  <c r="F53"/>
  <c r="F52" s="1"/>
  <c r="F49"/>
  <c r="F41"/>
  <c r="F39"/>
  <c r="F37"/>
  <c r="F35"/>
  <c r="F32"/>
  <c r="F28"/>
  <c r="F26"/>
  <c r="F23"/>
  <c r="F21"/>
  <c r="F19" s="1"/>
  <c r="F18"/>
  <c r="F16"/>
  <c r="F15" s="1"/>
  <c r="F13"/>
  <c r="F59"/>
  <c r="F58" s="1"/>
  <c r="F55"/>
  <c r="F51"/>
  <c r="F48"/>
  <c r="F45"/>
  <c r="F43"/>
  <c r="F42"/>
  <c r="F40"/>
  <c r="F38"/>
  <c r="F36"/>
  <c r="F33"/>
  <c r="F31"/>
  <c r="F29"/>
  <c r="F27"/>
  <c r="F25"/>
  <c r="F22"/>
  <c r="F20"/>
  <c r="F17"/>
  <c r="F14"/>
  <c r="F54" i="17"/>
  <c r="F52"/>
  <c r="F50"/>
  <c r="F49"/>
  <c r="F48"/>
  <c r="F44"/>
  <c r="F43"/>
  <c r="F39"/>
  <c r="F38"/>
  <c r="F34"/>
  <c r="F32"/>
  <c r="F31" s="1"/>
  <c r="F29"/>
  <c r="F24"/>
  <c r="F21"/>
  <c r="F19"/>
  <c r="F17" s="1"/>
  <c r="F11" s="1"/>
  <c r="F15"/>
  <c r="F14"/>
  <c r="F42"/>
  <c r="F41"/>
  <c r="F36" i="18"/>
  <c r="F35" s="1"/>
  <c r="F24"/>
  <c r="F20"/>
  <c r="F19" s="1"/>
  <c r="F15"/>
  <c r="F14"/>
  <c r="F50"/>
  <c r="F49"/>
  <c r="F46"/>
  <c r="F45"/>
  <c r="F40"/>
  <c r="F39"/>
  <c r="F34"/>
  <c r="F32"/>
  <c r="F28"/>
  <c r="F26"/>
  <c r="F22"/>
  <c r="F18"/>
  <c r="F17" s="1"/>
  <c r="F51"/>
  <c r="F48"/>
  <c r="F47"/>
  <c r="F44"/>
  <c r="F42"/>
  <c r="F38"/>
  <c r="F33"/>
  <c r="F29"/>
  <c r="F34" i="14"/>
  <c r="F65" i="13"/>
  <c r="F27" i="17"/>
  <c r="F21" i="13"/>
  <c r="F31" i="18"/>
  <c r="D60" i="7"/>
  <c r="F60" s="1"/>
  <c r="D19"/>
  <c r="F19" s="1"/>
  <c r="F71"/>
  <c r="F15"/>
  <c r="F48"/>
  <c r="F32" i="20"/>
  <c r="F71" s="1"/>
  <c r="F72" s="1"/>
  <c r="E48" i="21"/>
  <c r="G48"/>
  <c r="I48"/>
  <c r="F32" i="19"/>
  <c r="F71" s="1"/>
  <c r="F72" s="1"/>
  <c r="C48" i="21"/>
  <c r="D72" i="7"/>
  <c r="F72"/>
  <c r="D63"/>
  <c r="F63"/>
  <c r="D35"/>
  <c r="F35"/>
  <c r="F14" i="49"/>
  <c r="H21"/>
  <c r="H22" s="1"/>
  <c r="I58" i="21"/>
  <c r="G58"/>
  <c r="E58"/>
  <c r="C58"/>
  <c r="E64"/>
  <c r="F47" i="13"/>
  <c r="F47" i="14"/>
  <c r="F57"/>
  <c r="F64"/>
  <c r="F12"/>
  <c r="G57" i="21"/>
  <c r="C57"/>
  <c r="I57"/>
  <c r="E57"/>
  <c r="G59"/>
  <c r="E59"/>
  <c r="C59"/>
  <c r="I59"/>
  <c r="I50"/>
  <c r="G50"/>
  <c r="E50"/>
  <c r="C50"/>
  <c r="I53"/>
  <c r="I71" s="1"/>
  <c r="J53" s="1"/>
  <c r="G53"/>
  <c r="G68" s="1"/>
  <c r="G71" s="1"/>
  <c r="E53"/>
  <c r="E71" s="1"/>
  <c r="C53"/>
  <c r="C71" s="1"/>
  <c r="D48" s="1"/>
  <c r="F40" i="22" l="1"/>
  <c r="G40" s="1"/>
  <c r="F36"/>
  <c r="G36" s="1"/>
  <c r="F33"/>
  <c r="F28"/>
  <c r="F42"/>
  <c r="G42" s="1"/>
  <c r="F38"/>
  <c r="G38" s="1"/>
  <c r="F31"/>
  <c r="G31" s="1"/>
  <c r="F30"/>
  <c r="G30" s="1"/>
  <c r="F57" i="11"/>
  <c r="F58" s="1"/>
  <c r="F56" i="12"/>
  <c r="F57" s="1"/>
  <c r="F10" i="14"/>
  <c r="F53" i="21"/>
  <c r="F48"/>
  <c r="D53"/>
  <c r="F13" i="18"/>
  <c r="J50" i="21"/>
  <c r="F50"/>
  <c r="F71" s="1"/>
  <c r="F33" i="7"/>
  <c r="F68"/>
  <c r="F81"/>
  <c r="F10"/>
  <c r="F51"/>
  <c r="F43" s="1"/>
  <c r="F55"/>
  <c r="F62"/>
  <c r="F69"/>
  <c r="F28"/>
  <c r="F21" s="1"/>
  <c r="E16" i="49"/>
  <c r="E17" s="1"/>
  <c r="E14"/>
  <c r="E24"/>
  <c r="E26" s="1"/>
  <c r="H28"/>
  <c r="G28"/>
  <c r="F16"/>
  <c r="F18" s="1"/>
  <c r="E21"/>
  <c r="E22" s="1"/>
  <c r="E18"/>
  <c r="H48" i="21"/>
  <c r="H50"/>
  <c r="H68"/>
  <c r="H53"/>
  <c r="F73"/>
  <c r="D50"/>
  <c r="D71" s="1"/>
  <c r="J48"/>
  <c r="J71" l="1"/>
  <c r="F32" i="22"/>
  <c r="G32" s="1"/>
  <c r="G33"/>
  <c r="G28"/>
  <c r="F27"/>
  <c r="G27" s="1"/>
  <c r="F53" i="7"/>
  <c r="F82" s="1"/>
  <c r="E28" i="49"/>
  <c r="E15"/>
  <c r="H71" i="21"/>
  <c r="F53" i="18" l="1"/>
  <c r="F54" s="1"/>
  <c r="F55" s="1"/>
  <c r="C32" i="21" s="1"/>
  <c r="F72" i="13"/>
  <c r="F73" s="1"/>
  <c r="F74" s="1"/>
  <c r="F83" i="7"/>
  <c r="F73" i="14"/>
  <c r="F74" s="1"/>
  <c r="F75" s="1"/>
  <c r="F55" i="17"/>
  <c r="F56" s="1"/>
  <c r="F57" s="1"/>
  <c r="E32" i="21" s="1"/>
  <c r="G32" l="1"/>
  <c r="F14"/>
  <c r="F12"/>
  <c r="F17"/>
  <c r="D14"/>
  <c r="D17"/>
  <c r="D12"/>
  <c r="G33"/>
  <c r="G34" s="1"/>
  <c r="I32"/>
  <c r="D32" l="1"/>
  <c r="F32"/>
  <c r="H17"/>
  <c r="H12"/>
  <c r="F35"/>
  <c r="H14"/>
  <c r="J17"/>
  <c r="J12"/>
  <c r="J14"/>
  <c r="G35"/>
  <c r="J32" l="1"/>
  <c r="H32"/>
</calcChain>
</file>

<file path=xl/sharedStrings.xml><?xml version="1.0" encoding="utf-8"?>
<sst xmlns="http://schemas.openxmlformats.org/spreadsheetml/2006/main" count="1982" uniqueCount="674">
  <si>
    <t>Вік</t>
  </si>
  <si>
    <t xml:space="preserve">чоловіки </t>
  </si>
  <si>
    <t>і жінки</t>
  </si>
  <si>
    <t>Особи працездатного</t>
  </si>
  <si>
    <t>віку</t>
  </si>
  <si>
    <t xml:space="preserve"> Чоловік</t>
  </si>
  <si>
    <t>чоловіки</t>
  </si>
  <si>
    <t>жінки</t>
  </si>
  <si>
    <t>№</t>
  </si>
  <si>
    <t>Кількість</t>
  </si>
  <si>
    <t>Верхній зимовий одяг</t>
  </si>
  <si>
    <t>Спортивний костюм</t>
  </si>
  <si>
    <t>Натільна білизна</t>
  </si>
  <si>
    <t>Труси</t>
  </si>
  <si>
    <t>Панчішно-шкарпеткові вироби</t>
  </si>
  <si>
    <t>Головні убори</t>
  </si>
  <si>
    <t>Галантерейні вироби</t>
  </si>
  <si>
    <t>Взуття зимове</t>
  </si>
  <si>
    <t>Взуття осінньо-весняне</t>
  </si>
  <si>
    <t>Взуття літнє та спортивне</t>
  </si>
  <si>
    <t>Костюм (сукня)</t>
  </si>
  <si>
    <t>Комбінація</t>
  </si>
  <si>
    <t>Бюстгалтер</t>
  </si>
  <si>
    <t>Брюки  для хлопчиків із джинсової тканини</t>
  </si>
  <si>
    <t>Піжама</t>
  </si>
  <si>
    <t>Колготки</t>
  </si>
  <si>
    <t>Туфлі</t>
  </si>
  <si>
    <t>Шкарпетки</t>
  </si>
  <si>
    <t>Кросове взуття</t>
  </si>
  <si>
    <t>Домашнє взуття</t>
  </si>
  <si>
    <t>Сорочка нічна</t>
  </si>
  <si>
    <t>Подушка</t>
  </si>
  <si>
    <t>Наволочка</t>
  </si>
  <si>
    <t>Предмети першої потреби</t>
  </si>
  <si>
    <t>Предмети санітарії та ліки</t>
  </si>
  <si>
    <t>Посуд</t>
  </si>
  <si>
    <t>Чайник</t>
  </si>
  <si>
    <t>Побутові прилади</t>
  </si>
  <si>
    <t>Електропраска</t>
  </si>
  <si>
    <t>Меблі</t>
  </si>
  <si>
    <t>Шафа для одягу</t>
  </si>
  <si>
    <t>Стілець</t>
  </si>
  <si>
    <t xml:space="preserve">№ </t>
  </si>
  <si>
    <t>Картопля</t>
  </si>
  <si>
    <t>Овочі та баштанні</t>
  </si>
  <si>
    <t>М'ясопродукти</t>
  </si>
  <si>
    <t>Бобові</t>
  </si>
  <si>
    <t>Рис</t>
  </si>
  <si>
    <t>Хліб пшеничний</t>
  </si>
  <si>
    <t>Хліб житній</t>
  </si>
  <si>
    <t>Макаронні вироби</t>
  </si>
  <si>
    <t>Баштанні</t>
  </si>
  <si>
    <t>Капуста</t>
  </si>
  <si>
    <t>Інші</t>
  </si>
  <si>
    <t>Сухофрукти</t>
  </si>
  <si>
    <t>Яловичина</t>
  </si>
  <si>
    <t>Свинина</t>
  </si>
  <si>
    <t>Баранина</t>
  </si>
  <si>
    <t>Сало</t>
  </si>
  <si>
    <t>Молоко незбиране</t>
  </si>
  <si>
    <t>Масло вершкове</t>
  </si>
  <si>
    <t>Сир</t>
  </si>
  <si>
    <t>Сметана</t>
  </si>
  <si>
    <t>Сир твердий</t>
  </si>
  <si>
    <t>Риба свіжа</t>
  </si>
  <si>
    <t>Оселедці</t>
  </si>
  <si>
    <t>Фрукти і ягоди</t>
  </si>
  <si>
    <t>Маргарин</t>
  </si>
  <si>
    <t>Олія</t>
  </si>
  <si>
    <t>Сіль</t>
  </si>
  <si>
    <t>Чай</t>
  </si>
  <si>
    <t>Плащ чоловічий</t>
  </si>
  <si>
    <t>Плащ жіночий</t>
  </si>
  <si>
    <t>Брюки чоловічі  із напіввовняної тканини</t>
  </si>
  <si>
    <t>Сукня жіноча із напіввовняної тканини</t>
  </si>
  <si>
    <t>Сукня жіноча із бавовняної тканини</t>
  </si>
  <si>
    <t>Халат жіночий</t>
  </si>
  <si>
    <t>Чоловічі труси</t>
  </si>
  <si>
    <t>Жіночі труси</t>
  </si>
  <si>
    <t>Текстильні вироби (білизна)</t>
  </si>
  <si>
    <t>Діти</t>
  </si>
  <si>
    <t>виміру</t>
  </si>
  <si>
    <t>Електроенергія</t>
  </si>
  <si>
    <t xml:space="preserve">Зубна щітка </t>
  </si>
  <si>
    <t xml:space="preserve">Одеколон </t>
  </si>
  <si>
    <t>Гребінка</t>
  </si>
  <si>
    <t>Санітарно-гігієнічні вироби з паперу</t>
  </si>
  <si>
    <t>кг</t>
  </si>
  <si>
    <t>штук</t>
  </si>
  <si>
    <t>упаковка</t>
  </si>
  <si>
    <t>-</t>
  </si>
  <si>
    <t>0-5 років</t>
  </si>
  <si>
    <t xml:space="preserve">Одиниця </t>
  </si>
  <si>
    <t>6-17 років</t>
  </si>
  <si>
    <t>Ціна покупки</t>
  </si>
  <si>
    <t>фактична</t>
  </si>
  <si>
    <t>%</t>
  </si>
  <si>
    <t xml:space="preserve">Обсяги споживання </t>
  </si>
  <si>
    <t>(у середньому на одного</t>
  </si>
  <si>
    <t xml:space="preserve">Найменування продуктів </t>
  </si>
  <si>
    <t>пенсіонера на рік,</t>
  </si>
  <si>
    <t>в т.ч. чоловіки, жінки у %)</t>
  </si>
  <si>
    <t>Назва товарів</t>
  </si>
  <si>
    <t>Одиниця</t>
  </si>
  <si>
    <t xml:space="preserve">Обсяг </t>
  </si>
  <si>
    <t>споживання</t>
  </si>
  <si>
    <t>Вартість</t>
  </si>
  <si>
    <t xml:space="preserve">Вартість </t>
  </si>
  <si>
    <t>Питома</t>
  </si>
  <si>
    <t>вага</t>
  </si>
  <si>
    <t>Вартість продуктів харчування</t>
  </si>
  <si>
    <t>Вартість  непродовольчих</t>
  </si>
  <si>
    <t>товарів</t>
  </si>
  <si>
    <t>Транспортні послуги</t>
  </si>
  <si>
    <t>для осіб, які</t>
  </si>
  <si>
    <t>втратили праце-</t>
  </si>
  <si>
    <t>здатність</t>
  </si>
  <si>
    <t>Ковдра напіввовняна</t>
  </si>
  <si>
    <t>Люстра</t>
  </si>
  <si>
    <t>Борошно житнє</t>
  </si>
  <si>
    <t>Борошно пшеничне</t>
  </si>
  <si>
    <t>Манна крупа</t>
  </si>
  <si>
    <t>Пшоно</t>
  </si>
  <si>
    <t>Гречана крупа</t>
  </si>
  <si>
    <t>Вівсяна крупа</t>
  </si>
  <si>
    <t xml:space="preserve">Цибуля, часник </t>
  </si>
  <si>
    <t>Субпродукти та інші</t>
  </si>
  <si>
    <t xml:space="preserve">Товари індивідуального </t>
  </si>
  <si>
    <t>використання</t>
  </si>
  <si>
    <t>Дзеркало для ванної кімнати</t>
  </si>
  <si>
    <t>(в середньому на одну людину в рік)</t>
  </si>
  <si>
    <t>Користування житлом</t>
  </si>
  <si>
    <t>водовідведення</t>
  </si>
  <si>
    <t>Теплопостачання</t>
  </si>
  <si>
    <t xml:space="preserve">Цукор </t>
  </si>
  <si>
    <t xml:space="preserve">куб.метр </t>
  </si>
  <si>
    <t>Придбання газет та журналів</t>
  </si>
  <si>
    <t>Розмови місцевого телефонного</t>
  </si>
  <si>
    <t>Листування в межах України</t>
  </si>
  <si>
    <t>Радіоточка</t>
  </si>
  <si>
    <t>Телеантена</t>
  </si>
  <si>
    <t>Види побутових</t>
  </si>
  <si>
    <t>послуг</t>
  </si>
  <si>
    <t>Ремонт взуття</t>
  </si>
  <si>
    <t>Ремонт телевізорів</t>
  </si>
  <si>
    <t>Ремонт годинників</t>
  </si>
  <si>
    <t>Послуги лазень і душів</t>
  </si>
  <si>
    <t>Фотопослуги</t>
  </si>
  <si>
    <t>Перукарські послуги</t>
  </si>
  <si>
    <t>пара взуття</t>
  </si>
  <si>
    <t>телевізор</t>
  </si>
  <si>
    <t>годинник</t>
  </si>
  <si>
    <t xml:space="preserve">одиниця </t>
  </si>
  <si>
    <t>одиниця одягу</t>
  </si>
  <si>
    <t>чол/відвідувань</t>
  </si>
  <si>
    <t>замовлення</t>
  </si>
  <si>
    <t>на документи</t>
  </si>
  <si>
    <t xml:space="preserve">стрижка </t>
  </si>
  <si>
    <t>волосся</t>
  </si>
  <si>
    <t>віком до</t>
  </si>
  <si>
    <t>6 років</t>
  </si>
  <si>
    <t>віком від</t>
  </si>
  <si>
    <t>до 18 років</t>
  </si>
  <si>
    <t>Працездатні</t>
  </si>
  <si>
    <t>особи</t>
  </si>
  <si>
    <t>Особи, які</t>
  </si>
  <si>
    <t>втратили</t>
  </si>
  <si>
    <t>праце-</t>
  </si>
  <si>
    <t>(діти</t>
  </si>
  <si>
    <t>6 років)</t>
  </si>
  <si>
    <t>до 18 років)</t>
  </si>
  <si>
    <t>(працездатні</t>
  </si>
  <si>
    <t>особи)</t>
  </si>
  <si>
    <t>(особи, які</t>
  </si>
  <si>
    <t>здатність)</t>
  </si>
  <si>
    <t>хвилин</t>
  </si>
  <si>
    <t>Побутові послуги</t>
  </si>
  <si>
    <t>на одну особу</t>
  </si>
  <si>
    <t>на рік</t>
  </si>
  <si>
    <t xml:space="preserve">театрів, кінотеатрів, </t>
  </si>
  <si>
    <t>сімей</t>
  </si>
  <si>
    <t>(тис.)</t>
  </si>
  <si>
    <t>Норма</t>
  </si>
  <si>
    <t>на місяць</t>
  </si>
  <si>
    <t xml:space="preserve">Ціна </t>
  </si>
  <si>
    <t>в т.ч.</t>
  </si>
  <si>
    <t>централізованого гарячого</t>
  </si>
  <si>
    <t>водопостачання</t>
  </si>
  <si>
    <t>водонагрівача</t>
  </si>
  <si>
    <t>Для споживачів з індивідуальним</t>
  </si>
  <si>
    <t>опаленням у будинках не вище</t>
  </si>
  <si>
    <t>двох поверхів</t>
  </si>
  <si>
    <t>(куб.м на</t>
  </si>
  <si>
    <t>автомобільним, електричним</t>
  </si>
  <si>
    <t>транспортом та метрополітеном</t>
  </si>
  <si>
    <t>автомобільним та залізничним</t>
  </si>
  <si>
    <t>транспортом</t>
  </si>
  <si>
    <t>одну особу  на місяць</t>
  </si>
  <si>
    <t>місяць)</t>
  </si>
  <si>
    <t>опалення</t>
  </si>
  <si>
    <t>гаряча вода</t>
  </si>
  <si>
    <t xml:space="preserve">Водопостачання </t>
  </si>
  <si>
    <t>оплата житла</t>
  </si>
  <si>
    <t>теплопостачання</t>
  </si>
  <si>
    <t>електроенергія</t>
  </si>
  <si>
    <t>газопостачання</t>
  </si>
  <si>
    <t>витрат</t>
  </si>
  <si>
    <t xml:space="preserve"> та пральних машин</t>
  </si>
  <si>
    <t>Ремонт холодильників</t>
  </si>
  <si>
    <t>Вартість товарів загальносімейного користування</t>
  </si>
  <si>
    <t xml:space="preserve">Шапка, шарф із вовняної, напіввовняної </t>
  </si>
  <si>
    <t>комплект</t>
  </si>
  <si>
    <t xml:space="preserve">та синтетичної пряжі </t>
  </si>
  <si>
    <t>Чоловічі черевики осінні</t>
  </si>
  <si>
    <t xml:space="preserve">плитою газовою: </t>
  </si>
  <si>
    <t>гарячого водопостачання</t>
  </si>
  <si>
    <t xml:space="preserve">водопостачання та газового </t>
  </si>
  <si>
    <t>плитою газовою та</t>
  </si>
  <si>
    <t>водонагрівачем</t>
  </si>
  <si>
    <t>Субпродукти</t>
  </si>
  <si>
    <t>Ковбасні вироби</t>
  </si>
  <si>
    <t>Молокопродукти</t>
  </si>
  <si>
    <t>Птиця домашня</t>
  </si>
  <si>
    <t>Рибопродукти</t>
  </si>
  <si>
    <t>Молоко збиране, кефір</t>
  </si>
  <si>
    <t>Костюм чоловічий двійка</t>
  </si>
  <si>
    <t>працездатного на рік,</t>
  </si>
  <si>
    <t>Рейтузи</t>
  </si>
  <si>
    <t>Хустка напіввовняна</t>
  </si>
  <si>
    <t>Хустка бавовняна</t>
  </si>
  <si>
    <t>Рукавиці із вовняної, напіввовняної</t>
  </si>
  <si>
    <t>Краватка</t>
  </si>
  <si>
    <t>Електробритва</t>
  </si>
  <si>
    <t>Чайний сервіз (6 персон)</t>
  </si>
  <si>
    <t>Холодильник (однокамерний)</t>
  </si>
  <si>
    <t>Телевізор (51 см по діагоналі)</t>
  </si>
  <si>
    <t>Пральна машина (типу "Малютка")</t>
  </si>
  <si>
    <t>Настільна лампа</t>
  </si>
  <si>
    <t>Обсяг споживання</t>
  </si>
  <si>
    <t>покупки</t>
  </si>
  <si>
    <t xml:space="preserve">в середньому </t>
  </si>
  <si>
    <t>на 1 дитину на рік</t>
  </si>
  <si>
    <t>статі в % віком</t>
  </si>
  <si>
    <t>від 6 до18 років</t>
  </si>
  <si>
    <t>тканини</t>
  </si>
  <si>
    <t xml:space="preserve">Сукня для дівчаток </t>
  </si>
  <si>
    <t xml:space="preserve">Сорочки для хлопчиків із бавовняної </t>
  </si>
  <si>
    <t>Шкільна форма</t>
  </si>
  <si>
    <t>Купальник (плавки)</t>
  </si>
  <si>
    <t xml:space="preserve">Шкарпетки </t>
  </si>
  <si>
    <t xml:space="preserve">Колготки </t>
  </si>
  <si>
    <t xml:space="preserve">Шапка, шарф із вовняної, напівовняної </t>
  </si>
  <si>
    <t>та синтетичної пряжі</t>
  </si>
  <si>
    <t xml:space="preserve">Рукавиці із вовняної, напівовняної </t>
  </si>
  <si>
    <t>Чоботи утеплені</t>
  </si>
  <si>
    <t xml:space="preserve">Черевики, напівчеревики </t>
  </si>
  <si>
    <t>Гумове взуття</t>
  </si>
  <si>
    <t>від 0 до 6 років</t>
  </si>
  <si>
    <t xml:space="preserve">Шуба із штучного хутра або </t>
  </si>
  <si>
    <t>пальто зимове</t>
  </si>
  <si>
    <t xml:space="preserve">Сукня для дівчаток із </t>
  </si>
  <si>
    <t>напіввовняної тканини</t>
  </si>
  <si>
    <t xml:space="preserve">Брюки для хлопчиків із напіввовняної </t>
  </si>
  <si>
    <t>Гарнітур для новонароджених</t>
  </si>
  <si>
    <t>та синтетичної пряжі (комплект)</t>
  </si>
  <si>
    <t xml:space="preserve">Рукавички із вовняної, напівовняної </t>
  </si>
  <si>
    <t>Інші крупи</t>
  </si>
  <si>
    <t>Крохмаль</t>
  </si>
  <si>
    <t xml:space="preserve">Помідори </t>
  </si>
  <si>
    <t>Огірки</t>
  </si>
  <si>
    <t xml:space="preserve">Морква </t>
  </si>
  <si>
    <t>Цибуля</t>
  </si>
  <si>
    <t>Інші овочі і баштанні</t>
  </si>
  <si>
    <t>Яблука</t>
  </si>
  <si>
    <t>Ягоди та виноград</t>
  </si>
  <si>
    <t>Кісточкові</t>
  </si>
  <si>
    <t>Груші</t>
  </si>
  <si>
    <t>Інші фрукти та горіхи</t>
  </si>
  <si>
    <t>літри</t>
  </si>
  <si>
    <t>Яловичина, баранина, телятина</t>
  </si>
  <si>
    <t>Свинина пісна</t>
  </si>
  <si>
    <t>Ковбаса варена, сосиски, сардельки</t>
  </si>
  <si>
    <t>Балик м'ясний, шинка, карбонат</t>
  </si>
  <si>
    <t>Субпродукти(печінка, язик, мозок)</t>
  </si>
  <si>
    <t>Кисломолочні напої</t>
  </si>
  <si>
    <t>Риба свіжа, свіжоморожена</t>
  </si>
  <si>
    <t>Цукор</t>
  </si>
  <si>
    <t>Кондитерські вироби</t>
  </si>
  <si>
    <t>Мед</t>
  </si>
  <si>
    <t>Какао</t>
  </si>
  <si>
    <t>Дріжджі</t>
  </si>
  <si>
    <t>Спеції (лавровий лист)</t>
  </si>
  <si>
    <t>Морква</t>
  </si>
  <si>
    <t>Субпродукти (печінка, язик, мозок)</t>
  </si>
  <si>
    <t>коеф.сімейності</t>
  </si>
  <si>
    <t>цирків, музичних установ, покупка книг)</t>
  </si>
  <si>
    <t>Спідниця із вовняної та напіввовняної тканини</t>
  </si>
  <si>
    <t>Куртка чоловіча на синтапоні</t>
  </si>
  <si>
    <t>Ремонт одягу</t>
  </si>
  <si>
    <t>Товари загальносімейного користування</t>
  </si>
  <si>
    <t xml:space="preserve">Товари  загальносімейного користування </t>
  </si>
  <si>
    <t>Товари індивідуального використання</t>
  </si>
  <si>
    <t xml:space="preserve">Найменування непродовольчих </t>
  </si>
  <si>
    <t>Найменування продуктів</t>
  </si>
  <si>
    <t>харчування</t>
  </si>
  <si>
    <t xml:space="preserve">Найменування </t>
  </si>
  <si>
    <t>непродовольчих</t>
  </si>
  <si>
    <t xml:space="preserve">товарів </t>
  </si>
  <si>
    <t>Найменування продуктів харчування</t>
  </si>
  <si>
    <t>Найменування непродовольчих</t>
  </si>
  <si>
    <t>Ремонт житла (матеріали)</t>
  </si>
  <si>
    <t>Послуги пралень</t>
  </si>
  <si>
    <t>Молоко з малим вмістом жиру</t>
  </si>
  <si>
    <t>Обсяги споживання</t>
  </si>
  <si>
    <t xml:space="preserve"> в т.ч. чоловічої та жіночої</t>
  </si>
  <si>
    <t>Хлібопродукти</t>
  </si>
  <si>
    <t xml:space="preserve">Загальна кількість сімей </t>
  </si>
  <si>
    <t>по Україні</t>
  </si>
  <si>
    <t>Розрахунок вартості газопостачання в  середньому</t>
  </si>
  <si>
    <t>на одну особу на місяць</t>
  </si>
  <si>
    <t xml:space="preserve"> за наявності централізованого</t>
  </si>
  <si>
    <t>Сир м'який</t>
  </si>
  <si>
    <t xml:space="preserve">які втратили працездатність  </t>
  </si>
  <si>
    <t xml:space="preserve">віком від 6 до 18 років </t>
  </si>
  <si>
    <t xml:space="preserve">Хлібопродукти  </t>
  </si>
  <si>
    <t>Соки плодово-ягідні та овочеві</t>
  </si>
  <si>
    <t xml:space="preserve">Брюки чоловічі із джинсової </t>
  </si>
  <si>
    <t>або бавовняної тканини</t>
  </si>
  <si>
    <t>Купальник</t>
  </si>
  <si>
    <t>Плавки чоловічі</t>
  </si>
  <si>
    <t>Ковдра синтапонова</t>
  </si>
  <si>
    <t>Стіл письмовий (однотумбовий)</t>
  </si>
  <si>
    <t>Засоби гігієни</t>
  </si>
  <si>
    <t xml:space="preserve"> кг</t>
  </si>
  <si>
    <t>Дитячий крем (тюбик)</t>
  </si>
  <si>
    <t>пар</t>
  </si>
  <si>
    <t>Брюки чоловічі із джинсової або</t>
  </si>
  <si>
    <t>бавовняної тканини</t>
  </si>
  <si>
    <t>Товари  загальносімейного користування</t>
  </si>
  <si>
    <t>Чоловічий кашкет із вовняної тканини</t>
  </si>
  <si>
    <t>Туфлі  чоловічі</t>
  </si>
  <si>
    <t>Блузка</t>
  </si>
  <si>
    <t xml:space="preserve">Блузка </t>
  </si>
  <si>
    <t>Туфлі чоловічі</t>
  </si>
  <si>
    <t>Куртка на синтапоні</t>
  </si>
  <si>
    <t>Брюки для хлопчиків із джинсової тканини</t>
  </si>
  <si>
    <t>синтетичної тканини</t>
  </si>
  <si>
    <t>Вартість мінімального набору побутових послуг</t>
  </si>
  <si>
    <t>Поїздки міським</t>
  </si>
  <si>
    <t>Поїздки приміським</t>
  </si>
  <si>
    <t>Цукор, конд.вироби</t>
  </si>
  <si>
    <t xml:space="preserve">Яйця </t>
  </si>
  <si>
    <t>Яйця</t>
  </si>
  <si>
    <t>Столові прибори :</t>
  </si>
  <si>
    <t xml:space="preserve">коеф. сімейності </t>
  </si>
  <si>
    <t>зв"язку</t>
  </si>
  <si>
    <t>для дітей віком</t>
  </si>
  <si>
    <t>від 6 до 18 років</t>
  </si>
  <si>
    <t>для  праце-</t>
  </si>
  <si>
    <t>здатних</t>
  </si>
  <si>
    <t xml:space="preserve"> (на місяць)</t>
  </si>
  <si>
    <t>Інші (6%)</t>
  </si>
  <si>
    <t>Інші (0,7%)</t>
  </si>
  <si>
    <t>Інші (8%)</t>
  </si>
  <si>
    <t>Рукавички із вовняної, напіввовняної</t>
  </si>
  <si>
    <t xml:space="preserve">до загальної </t>
  </si>
  <si>
    <t xml:space="preserve">до відповідної </t>
  </si>
  <si>
    <t>чисельності</t>
  </si>
  <si>
    <t>соціально-</t>
  </si>
  <si>
    <t>населення</t>
  </si>
  <si>
    <t>демографічної групи</t>
  </si>
  <si>
    <t xml:space="preserve">Питома вага </t>
  </si>
  <si>
    <t>Питома вага</t>
  </si>
  <si>
    <t>з/п</t>
  </si>
  <si>
    <t>Усього на рік</t>
  </si>
  <si>
    <t>Усього на місяць</t>
  </si>
  <si>
    <t>Джемпер, светр</t>
  </si>
  <si>
    <t>Вартість усього набору на рік</t>
  </si>
  <si>
    <t>Вартість усього набору на місяць</t>
  </si>
  <si>
    <t>Усього в середньому на</t>
  </si>
  <si>
    <t>Простирадло</t>
  </si>
  <si>
    <t>Рушник простий</t>
  </si>
  <si>
    <t>Рушник махровий</t>
  </si>
  <si>
    <t>Тарілка</t>
  </si>
  <si>
    <t>Сковорода</t>
  </si>
  <si>
    <t>Ложка</t>
  </si>
  <si>
    <t>Виделка</t>
  </si>
  <si>
    <t>Ніж</t>
  </si>
  <si>
    <t xml:space="preserve">Годинник будь- якого виду </t>
  </si>
  <si>
    <t>Набір для кухні</t>
  </si>
  <si>
    <t>Ліжко або диван</t>
  </si>
  <si>
    <t>Мило туалетне (масою 100г)</t>
  </si>
  <si>
    <t>Мило господарське (масою 250г)</t>
  </si>
  <si>
    <t>(пакування 500 г)</t>
  </si>
  <si>
    <t>Шампунь (пакування 250г)</t>
  </si>
  <si>
    <t>Крем для взуття (пакування 50г)</t>
  </si>
  <si>
    <t>Зубна паста (пакування 75г)</t>
  </si>
  <si>
    <t>Вата (пакування 1 кг)</t>
  </si>
  <si>
    <t>Бинт (пакування 5смх10м)</t>
  </si>
  <si>
    <t>пляшечка</t>
  </si>
  <si>
    <t xml:space="preserve">Прожитковий мінімум в середньому на одну особу на місяць </t>
  </si>
  <si>
    <t>та для осіб, які відносяться до основних соціальних і демографічних груп населення</t>
  </si>
  <si>
    <t>грн.</t>
  </si>
  <si>
    <t>Прожитковий</t>
  </si>
  <si>
    <t>мінімум</t>
  </si>
  <si>
    <t>Вартість набору послуг</t>
  </si>
  <si>
    <t>Житлово-комунальні послуги</t>
  </si>
  <si>
    <t>Послуги зв'язку</t>
  </si>
  <si>
    <t>Послуги культури</t>
  </si>
  <si>
    <t xml:space="preserve">Витрати на загальнообов"язкове </t>
  </si>
  <si>
    <t>державне страхування</t>
  </si>
  <si>
    <t>Сума</t>
  </si>
  <si>
    <t>з\п</t>
  </si>
  <si>
    <t>Вартість набору продуктів харчування для дітей</t>
  </si>
  <si>
    <t>Буряки</t>
  </si>
  <si>
    <t>Цитрусові та інші тропічні плоди</t>
  </si>
  <si>
    <t>Ковбаса напівкопчена</t>
  </si>
  <si>
    <t>Вартість набору продуктів харчування  для дітей</t>
  </si>
  <si>
    <t>Вартість мінімального набору непродовольчих товарів для дітей</t>
  </si>
  <si>
    <t xml:space="preserve">для  працездатних осіб </t>
  </si>
  <si>
    <t>Вартість мінімального набору непродовольчих товарів  для осіб,</t>
  </si>
  <si>
    <t>Вартість набору продуктів харчування для осіб, які втратили</t>
  </si>
  <si>
    <t>працездатність</t>
  </si>
  <si>
    <t>Вартість транспортних  послуг</t>
  </si>
  <si>
    <t>у тому числі</t>
  </si>
  <si>
    <t>Усього дітей</t>
  </si>
  <si>
    <t>Усього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</si>
  <si>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</si>
  <si>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</si>
  <si>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</si>
  <si>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</si>
  <si>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</si>
  <si>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</si>
  <si>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</si>
  <si>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</si>
  <si>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</si>
  <si>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</si>
  <si>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</si>
  <si>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</si>
  <si>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</si>
  <si>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</si>
  <si>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</si>
  <si>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</si>
  <si>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</si>
  <si>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</si>
  <si>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</si>
  <si>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</si>
  <si>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</si>
  <si>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5</t>
  </si>
  <si>
    <t>5.1</t>
  </si>
  <si>
    <t>5.2</t>
  </si>
  <si>
    <t>5.3</t>
  </si>
  <si>
    <t>5.4</t>
  </si>
  <si>
    <t>5.5</t>
  </si>
  <si>
    <t>5.6</t>
  </si>
  <si>
    <t>6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</si>
  <si>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</si>
  <si>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</si>
  <si>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</si>
  <si>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</si>
  <si>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</si>
  <si>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</si>
  <si>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</si>
  <si>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</si>
  <si>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</si>
  <si>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</si>
  <si>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8.5</t>
  </si>
  <si>
    <t>8.6</t>
  </si>
  <si>
    <t>9</t>
  </si>
  <si>
    <t>10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</si>
  <si>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</si>
  <si>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</si>
  <si>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</si>
  <si>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</si>
  <si>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</si>
  <si>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</si>
  <si>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</si>
  <si>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</si>
  <si>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</si>
  <si>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</si>
  <si>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</si>
  <si>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3.1</t>
  </si>
  <si>
    <t>3.2</t>
  </si>
  <si>
    <t>3.3</t>
  </si>
  <si>
    <t>3.4</t>
  </si>
  <si>
    <t>3.5</t>
  </si>
  <si>
    <t>3.6</t>
  </si>
  <si>
    <t>8.7</t>
  </si>
  <si>
    <t>8.8</t>
  </si>
  <si>
    <t>9.1</t>
  </si>
  <si>
    <t>9.2</t>
  </si>
  <si>
    <t>9.3</t>
  </si>
  <si>
    <t>10.3</t>
  </si>
  <si>
    <t>10.4</t>
  </si>
  <si>
    <t>10.5</t>
  </si>
  <si>
    <t>10.6</t>
  </si>
  <si>
    <t>1.12</t>
  </si>
  <si>
    <t>2.1</t>
  </si>
  <si>
    <t>2.2</t>
  </si>
  <si>
    <t>2.3</t>
  </si>
  <si>
    <t>2.4</t>
  </si>
  <si>
    <t>2.5</t>
  </si>
  <si>
    <t>2.6</t>
  </si>
  <si>
    <t>3.7</t>
  </si>
  <si>
    <t>3.8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</si>
  <si>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</si>
  <si>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</si>
  <si>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</si>
  <si>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</si>
  <si>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</si>
  <si>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</si>
  <si>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</si>
  <si>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</si>
  <si>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</si>
  <si>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</si>
  <si>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5.2.6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</si>
  <si>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</si>
  <si>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</si>
  <si>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</si>
  <si>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</si>
  <si>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</si>
  <si>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</si>
  <si>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</si>
  <si>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</si>
  <si>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</si>
  <si>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Радіоприймач однопрограмний</t>
  </si>
  <si>
    <t>11.1</t>
  </si>
  <si>
    <t>13.1</t>
  </si>
  <si>
    <t>13.2</t>
  </si>
  <si>
    <t>13.3</t>
  </si>
  <si>
    <t>13.4</t>
  </si>
  <si>
    <t>3.9</t>
  </si>
  <si>
    <t>3.10</t>
  </si>
  <si>
    <t>3.11</t>
  </si>
  <si>
    <t>4.8</t>
  </si>
  <si>
    <t xml:space="preserve">(середній </t>
  </si>
  <si>
    <t>розмір сім"ї)</t>
  </si>
  <si>
    <t>Норми споживання</t>
  </si>
  <si>
    <t>Вартість споживання</t>
  </si>
  <si>
    <t>техніки</t>
  </si>
  <si>
    <t>одиниць побутової</t>
  </si>
  <si>
    <t>Фрукти різні</t>
  </si>
  <si>
    <t>Молоко, молокопродукти</t>
  </si>
  <si>
    <t>М'ясо, м'ясопродукти</t>
  </si>
  <si>
    <t>Птиця, кріль</t>
  </si>
  <si>
    <t>14.1</t>
  </si>
  <si>
    <t>14.2</t>
  </si>
  <si>
    <t>14.3</t>
  </si>
  <si>
    <t>14.4</t>
  </si>
  <si>
    <t>14.5</t>
  </si>
  <si>
    <t>15.1</t>
  </si>
  <si>
    <t>15.2</t>
  </si>
  <si>
    <t>15.3</t>
  </si>
  <si>
    <t>15.4</t>
  </si>
  <si>
    <t>15.5</t>
  </si>
  <si>
    <t>15.6</t>
  </si>
  <si>
    <t>15.7</t>
  </si>
  <si>
    <t>15.8</t>
  </si>
  <si>
    <t>16.1</t>
  </si>
  <si>
    <t>16.2</t>
  </si>
  <si>
    <t>20</t>
  </si>
  <si>
    <t>21</t>
  </si>
  <si>
    <t>Інші овочі та баштанні</t>
  </si>
  <si>
    <t>Риба, рибопродукти</t>
  </si>
  <si>
    <t>Овочі, баштанні</t>
  </si>
  <si>
    <t>Помідори, огірки</t>
  </si>
  <si>
    <t>Морква, буряк</t>
  </si>
  <si>
    <t>Фрукти, ягоди свіжі</t>
  </si>
  <si>
    <t>Кріль</t>
  </si>
  <si>
    <t>Підодіяльник</t>
  </si>
  <si>
    <t>Хусточки носові</t>
  </si>
  <si>
    <t>Мийні та чистильні засоби</t>
  </si>
  <si>
    <t xml:space="preserve">Синтетичні мийні засоби </t>
  </si>
  <si>
    <t>валеріана в упаковціі  10 шт.)</t>
  </si>
  <si>
    <t>(анальгін, аспірін  в упаковці 10 шт.</t>
  </si>
  <si>
    <t>Вітаміни (упаковка 10 шт.)</t>
  </si>
  <si>
    <t>Гірчичники (упаковка10 шт.)</t>
  </si>
  <si>
    <t>(шапочка, сорочечка, пелюшки)</t>
  </si>
  <si>
    <t>Футболка</t>
  </si>
  <si>
    <t>Чоботи (валянки) для дітей</t>
  </si>
  <si>
    <t>Пальто або шуба із штучного хутра</t>
  </si>
  <si>
    <t>Верхній демісезонний одяг</t>
  </si>
  <si>
    <t xml:space="preserve">Куртка з плащової (сумішної) або  </t>
  </si>
  <si>
    <t>Спідниця</t>
  </si>
  <si>
    <t xml:space="preserve">Кросове </t>
  </si>
  <si>
    <t>Шкільне письмове приладдя</t>
  </si>
  <si>
    <t>Сумка(рюкзак) учнівський</t>
  </si>
  <si>
    <t>Зошит (у перерахунку на 12 листків)</t>
  </si>
  <si>
    <t>Авторучка</t>
  </si>
  <si>
    <t>Підручник</t>
  </si>
  <si>
    <t xml:space="preserve">Пальто жіноче </t>
  </si>
  <si>
    <t>Чоловіча майка</t>
  </si>
  <si>
    <t>Інші (30%)</t>
  </si>
  <si>
    <t xml:space="preserve">Жіночі чоботи </t>
  </si>
  <si>
    <t>Жіночі туфлі (на низькому підборі)</t>
  </si>
  <si>
    <t>Туфлі жіночі</t>
  </si>
  <si>
    <t>Спортивне некросове</t>
  </si>
  <si>
    <t>Пальто жіноче</t>
  </si>
  <si>
    <t>Туфлі  жіночі</t>
  </si>
  <si>
    <t>Для споживачів з установленою</t>
  </si>
  <si>
    <t xml:space="preserve">за відсутності </t>
  </si>
  <si>
    <t>Вартість мінімального набору житлово-комунальних послуг, зв'язку, культури</t>
  </si>
  <si>
    <t>Зв'язок</t>
  </si>
  <si>
    <t>Тариф</t>
  </si>
  <si>
    <t>проїзду</t>
  </si>
  <si>
    <t>Птиця,кріль</t>
  </si>
  <si>
    <t>та змішаної тканини</t>
  </si>
  <si>
    <t xml:space="preserve">Сорочка чоловіча із змішаної тканини </t>
  </si>
  <si>
    <t xml:space="preserve">Чоботи чоловічі утеплені </t>
  </si>
  <si>
    <t xml:space="preserve">Сорочки чоловічі із змішаної тканини </t>
  </si>
  <si>
    <t xml:space="preserve">Чоботи  чоловічі утеплені </t>
  </si>
  <si>
    <t>Прожитковий мінімум в середньому на місяць на одну особу, грн. -</t>
  </si>
  <si>
    <t>разів/штук</t>
  </si>
  <si>
    <t>музеїв, парків, зоопарків, заповідників,</t>
  </si>
  <si>
    <t xml:space="preserve">кв.м (заг. площі) </t>
  </si>
  <si>
    <t>Гкал (на рік)</t>
  </si>
  <si>
    <t>ГКал/м2 (на рік)</t>
  </si>
  <si>
    <t>штук (на рік)</t>
  </si>
  <si>
    <t xml:space="preserve">на місяць </t>
  </si>
  <si>
    <t>на сім"ю)</t>
  </si>
  <si>
    <t>конверти (на місяць</t>
  </si>
  <si>
    <t>штук на серед-</t>
  </si>
  <si>
    <t>ньостатистичну сім"ю</t>
  </si>
  <si>
    <t xml:space="preserve"> на серед-</t>
  </si>
  <si>
    <t>за куб.м</t>
  </si>
  <si>
    <t>4.</t>
  </si>
  <si>
    <t xml:space="preserve"> </t>
  </si>
  <si>
    <t xml:space="preserve">Болезаспокійливі та жарознижуючі засоби </t>
  </si>
  <si>
    <t xml:space="preserve">Особи, які втратили </t>
  </si>
  <si>
    <t>АР Крим</t>
  </si>
  <si>
    <t>Україна</t>
  </si>
  <si>
    <t xml:space="preserve">на 1 дитину </t>
  </si>
  <si>
    <t>в середньому на одного</t>
  </si>
  <si>
    <t>пенсіонера на рік</t>
  </si>
  <si>
    <t>працездатного на рік</t>
  </si>
  <si>
    <t>Вартість мінімального набору непродовольчих товарів</t>
  </si>
  <si>
    <r>
      <t>Цукор,</t>
    </r>
    <r>
      <rPr>
        <b/>
        <sz val="8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конд.вироби</t>
    </r>
  </si>
  <si>
    <r>
      <t>Судиннорозширювальні (</t>
    </r>
    <r>
      <rPr>
        <sz val="8"/>
        <rFont val="Times New Roman"/>
        <family val="1"/>
        <charset val="204"/>
      </rPr>
      <t xml:space="preserve">валідол, </t>
    </r>
  </si>
  <si>
    <r>
      <t>Дезинфікаційні засоби (</t>
    </r>
    <r>
      <rPr>
        <sz val="8"/>
        <rFont val="Times New Roman"/>
        <family val="1"/>
        <charset val="204"/>
      </rPr>
      <t>йод, зеленка</t>
    </r>
    <r>
      <rPr>
        <sz val="10"/>
        <rFont val="Times New Roman"/>
        <family val="1"/>
        <charset val="204"/>
      </rPr>
      <t>)</t>
    </r>
  </si>
  <si>
    <r>
      <t xml:space="preserve">Вартість </t>
    </r>
    <r>
      <rPr>
        <sz val="8"/>
        <rFont val="Times New Roman"/>
        <family val="1"/>
        <charset val="204"/>
      </rPr>
      <t>загального обсягу споживання</t>
    </r>
  </si>
  <si>
    <r>
      <t>Хімчистка</t>
    </r>
    <r>
      <rPr>
        <sz val="8"/>
        <rFont val="Times New Roman"/>
        <family val="1"/>
        <charset val="204"/>
      </rPr>
      <t xml:space="preserve"> та фарбування одягу</t>
    </r>
  </si>
  <si>
    <r>
      <t xml:space="preserve">Культура </t>
    </r>
    <r>
      <rPr>
        <sz val="10"/>
        <rFont val="Times New Roman"/>
        <family val="1"/>
        <charset val="204"/>
      </rPr>
      <t>(відвідування</t>
    </r>
  </si>
  <si>
    <t xml:space="preserve">У відсотках </t>
  </si>
  <si>
    <t>Каструля</t>
  </si>
  <si>
    <t>сім'ю в</t>
  </si>
  <si>
    <t>Чисельність населення за статтю і віком в Україні</t>
  </si>
  <si>
    <t xml:space="preserve">Вартість набору продуктів харчування  для працездатного населення </t>
  </si>
  <si>
    <t>Взуття літнє, спортивне та домашнє</t>
  </si>
  <si>
    <t>Джемпер, светр чоловічий</t>
  </si>
  <si>
    <t>Джемпер, светр жіночий</t>
  </si>
  <si>
    <t>3.13</t>
  </si>
  <si>
    <t>3.12</t>
  </si>
  <si>
    <t>Джемпер, светр  чоловічий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</si>
  <si>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</si>
  <si>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Спортивний костюм чоловічий</t>
  </si>
  <si>
    <t>Домашнє взуття жіноче</t>
  </si>
  <si>
    <t>Домашнє взуття чоловіче</t>
  </si>
  <si>
    <t>3,12</t>
  </si>
  <si>
    <t>Спортивний костюм жіночий</t>
  </si>
  <si>
    <t xml:space="preserve">віком до 6 років </t>
  </si>
  <si>
    <t>(грн)</t>
  </si>
  <si>
    <r>
      <t xml:space="preserve">Розмір прожиткового мінімуму </t>
    </r>
    <r>
      <rPr>
        <sz val="11"/>
        <rFont val="Times New Roman"/>
        <family val="1"/>
        <charset val="204"/>
      </rPr>
      <t>(без урахування суми податку на доходи фізичних осіб)</t>
    </r>
  </si>
  <si>
    <t>Розмір прожиткового мінімуму</t>
  </si>
  <si>
    <t>Сума податку на доходи фізичних осіб</t>
  </si>
  <si>
    <t>Всього  споживачів</t>
  </si>
  <si>
    <t>квт
(на рік на сім`ю)</t>
  </si>
  <si>
    <t>для квартир, що обладнані газовою плитою
     до 100 квт</t>
  </si>
  <si>
    <t xml:space="preserve">     понад 100 квт</t>
  </si>
  <si>
    <t>для квартир, що обладнані електроплитою
     до 100 квт</t>
  </si>
  <si>
    <t>2016 р.</t>
  </si>
  <si>
    <t xml:space="preserve">на початок 2016 року </t>
  </si>
  <si>
    <t>за листопад</t>
  </si>
  <si>
    <r>
      <t>- з урахуванням суми податку на доходи фізичних осіб</t>
    </r>
    <r>
      <rPr>
        <sz val="14"/>
        <rFont val="Times New Roman"/>
        <family val="1"/>
        <charset val="204"/>
      </rPr>
      <t>)</t>
    </r>
  </si>
  <si>
    <t>(у цінах листопада 2016 р.)</t>
  </si>
</sst>
</file>

<file path=xl/styles.xml><?xml version="1.0" encoding="utf-8"?>
<styleSheet xmlns="http://schemas.openxmlformats.org/spreadsheetml/2006/main">
  <numFmts count="7">
    <numFmt numFmtId="164" formatCode="#,##0&quot;р.&quot;;[Red]\-#,##0&quot;р.&quot;"/>
    <numFmt numFmtId="165" formatCode="0.0000"/>
    <numFmt numFmtId="166" formatCode="0.000"/>
    <numFmt numFmtId="167" formatCode="0.0"/>
    <numFmt numFmtId="168" formatCode="0.000000"/>
    <numFmt numFmtId="169" formatCode="0.00000"/>
    <numFmt numFmtId="170" formatCode="\(0.00"/>
  </numFmts>
  <fonts count="52"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i/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2" borderId="0" applyNumberFormat="0" applyBorder="0" applyAlignment="0" applyProtection="0"/>
    <xf numFmtId="0" fontId="35" fillId="3" borderId="1" applyNumberFormat="0" applyAlignment="0" applyProtection="0"/>
    <xf numFmtId="0" fontId="36" fillId="9" borderId="2" applyNumberFormat="0" applyAlignment="0" applyProtection="0"/>
    <xf numFmtId="0" fontId="37" fillId="9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4" borderId="7" applyNumberFormat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4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</cellStyleXfs>
  <cellXfs count="423">
    <xf numFmtId="0" fontId="0" fillId="0" borderId="0" xfId="0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/>
    <xf numFmtId="0" fontId="7" fillId="0" borderId="0" xfId="0" applyFont="1"/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/>
    <xf numFmtId="0" fontId="0" fillId="0" borderId="19" xfId="0" applyBorder="1"/>
    <xf numFmtId="0" fontId="10" fillId="0" borderId="0" xfId="0" applyFont="1"/>
    <xf numFmtId="0" fontId="0" fillId="0" borderId="0" xfId="0" applyAlignment="1">
      <alignment horizontal="left"/>
    </xf>
    <xf numFmtId="49" fontId="0" fillId="0" borderId="0" xfId="0" applyNumberFormat="1"/>
    <xf numFmtId="49" fontId="4" fillId="0" borderId="0" xfId="0" applyNumberFormat="1" applyFont="1"/>
    <xf numFmtId="2" fontId="0" fillId="0" borderId="0" xfId="0" applyNumberFormat="1"/>
    <xf numFmtId="169" fontId="0" fillId="0" borderId="0" xfId="0" applyNumberFormat="1"/>
    <xf numFmtId="0" fontId="0" fillId="0" borderId="0" xfId="0" applyFill="1"/>
    <xf numFmtId="167" fontId="0" fillId="0" borderId="0" xfId="0" applyNumberFormat="1"/>
    <xf numFmtId="166" fontId="0" fillId="0" borderId="0" xfId="0" applyNumberFormat="1"/>
    <xf numFmtId="2" fontId="0" fillId="0" borderId="0" xfId="0" applyNumberFormat="1" applyFill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2" fillId="0" borderId="20" xfId="0" applyFont="1" applyBorder="1"/>
    <xf numFmtId="0" fontId="18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164" fontId="18" fillId="0" borderId="1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/>
    </xf>
    <xf numFmtId="0" fontId="12" fillId="0" borderId="16" xfId="0" applyFont="1" applyBorder="1"/>
    <xf numFmtId="0" fontId="18" fillId="0" borderId="16" xfId="0" applyFont="1" applyBorder="1" applyAlignment="1">
      <alignment horizontal="center"/>
    </xf>
    <xf numFmtId="0" fontId="12" fillId="0" borderId="14" xfId="0" applyFont="1" applyBorder="1"/>
    <xf numFmtId="0" fontId="18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left"/>
    </xf>
    <xf numFmtId="0" fontId="19" fillId="0" borderId="16" xfId="0" applyFont="1" applyBorder="1"/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49" fontId="12" fillId="0" borderId="16" xfId="0" applyNumberFormat="1" applyFont="1" applyBorder="1"/>
    <xf numFmtId="0" fontId="12" fillId="0" borderId="16" xfId="0" applyFont="1" applyBorder="1" applyAlignment="1">
      <alignment horizontal="left"/>
    </xf>
    <xf numFmtId="49" fontId="19" fillId="0" borderId="16" xfId="0" applyNumberFormat="1" applyFont="1" applyBorder="1"/>
    <xf numFmtId="1" fontId="12" fillId="0" borderId="14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19" fillId="0" borderId="0" xfId="0" applyFont="1"/>
    <xf numFmtId="49" fontId="11" fillId="0" borderId="10" xfId="0" applyNumberFormat="1" applyFont="1" applyBorder="1"/>
    <xf numFmtId="0" fontId="11" fillId="0" borderId="20" xfId="0" applyFont="1" applyBorder="1"/>
    <xf numFmtId="2" fontId="11" fillId="0" borderId="21" xfId="0" applyNumberFormat="1" applyFont="1" applyBorder="1" applyAlignment="1">
      <alignment horizontal="center"/>
    </xf>
    <xf numFmtId="49" fontId="11" fillId="0" borderId="11" xfId="0" applyNumberFormat="1" applyFont="1" applyBorder="1"/>
    <xf numFmtId="0" fontId="11" fillId="0" borderId="22" xfId="0" applyFont="1" applyBorder="1"/>
    <xf numFmtId="0" fontId="12" fillId="0" borderId="22" xfId="0" applyFont="1" applyBorder="1"/>
    <xf numFmtId="2" fontId="11" fillId="0" borderId="19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20" fillId="0" borderId="0" xfId="0" applyFont="1"/>
    <xf numFmtId="0" fontId="11" fillId="0" borderId="0" xfId="0" applyFont="1" applyAlignment="1">
      <alignment horizontal="center"/>
    </xf>
    <xf numFmtId="0" fontId="12" fillId="0" borderId="22" xfId="0" applyFont="1" applyBorder="1" applyAlignment="1">
      <alignment horizontal="left"/>
    </xf>
    <xf numFmtId="0" fontId="19" fillId="0" borderId="22" xfId="0" applyFont="1" applyBorder="1"/>
    <xf numFmtId="0" fontId="18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9" fillId="0" borderId="14" xfId="0" applyFont="1" applyBorder="1"/>
    <xf numFmtId="0" fontId="13" fillId="0" borderId="14" xfId="0" applyFont="1" applyBorder="1" applyAlignment="1">
      <alignment horizontal="center"/>
    </xf>
    <xf numFmtId="49" fontId="12" fillId="0" borderId="14" xfId="0" applyNumberFormat="1" applyFont="1" applyBorder="1"/>
    <xf numFmtId="49" fontId="19" fillId="0" borderId="14" xfId="0" applyNumberFormat="1" applyFont="1" applyBorder="1"/>
    <xf numFmtId="49" fontId="19" fillId="0" borderId="12" xfId="0" applyNumberFormat="1" applyFont="1" applyBorder="1" applyAlignment="1">
      <alignment horizontal="left"/>
    </xf>
    <xf numFmtId="167" fontId="12" fillId="0" borderId="14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left"/>
    </xf>
    <xf numFmtId="0" fontId="12" fillId="0" borderId="11" xfId="0" applyFont="1" applyBorder="1"/>
    <xf numFmtId="0" fontId="18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67" fontId="12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6" fillId="0" borderId="0" xfId="0" applyFont="1"/>
    <xf numFmtId="0" fontId="19" fillId="0" borderId="0" xfId="0" applyFont="1" applyBorder="1"/>
    <xf numFmtId="0" fontId="19" fillId="0" borderId="0" xfId="0" applyFont="1" applyAlignment="1">
      <alignment horizontal="left"/>
    </xf>
    <xf numFmtId="1" fontId="12" fillId="0" borderId="11" xfId="0" applyNumberFormat="1" applyFont="1" applyBorder="1" applyAlignment="1">
      <alignment horizontal="center"/>
    </xf>
    <xf numFmtId="49" fontId="19" fillId="0" borderId="11" xfId="0" applyNumberFormat="1" applyFont="1" applyBorder="1"/>
    <xf numFmtId="0" fontId="1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19" fillId="0" borderId="15" xfId="0" applyNumberFormat="1" applyFont="1" applyBorder="1" applyAlignment="1">
      <alignment horizontal="left"/>
    </xf>
    <xf numFmtId="49" fontId="12" fillId="0" borderId="0" xfId="0" applyNumberFormat="1" applyFont="1"/>
    <xf numFmtId="0" fontId="19" fillId="0" borderId="0" xfId="0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14" xfId="0" applyFont="1" applyBorder="1"/>
    <xf numFmtId="2" fontId="16" fillId="0" borderId="14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16" fillId="0" borderId="14" xfId="0" applyFont="1" applyBorder="1"/>
    <xf numFmtId="2" fontId="13" fillId="0" borderId="14" xfId="0" applyNumberFormat="1" applyFont="1" applyBorder="1" applyAlignment="1">
      <alignment horizontal="center"/>
    </xf>
    <xf numFmtId="0" fontId="23" fillId="0" borderId="14" xfId="0" applyFont="1" applyBorder="1"/>
    <xf numFmtId="0" fontId="19" fillId="0" borderId="0" xfId="0" applyFont="1" applyBorder="1" applyAlignment="1">
      <alignment horizontal="center"/>
    </xf>
    <xf numFmtId="166" fontId="19" fillId="0" borderId="14" xfId="0" applyNumberFormat="1" applyFont="1" applyBorder="1" applyAlignment="1">
      <alignment horizontal="center"/>
    </xf>
    <xf numFmtId="0" fontId="18" fillId="0" borderId="14" xfId="0" applyFont="1" applyBorder="1"/>
    <xf numFmtId="49" fontId="17" fillId="0" borderId="10" xfId="0" applyNumberFormat="1" applyFont="1" applyBorder="1"/>
    <xf numFmtId="0" fontId="17" fillId="0" borderId="20" xfId="0" applyFont="1" applyBorder="1"/>
    <xf numFmtId="0" fontId="24" fillId="0" borderId="20" xfId="0" applyFont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49" fontId="17" fillId="0" borderId="11" xfId="0" applyNumberFormat="1" applyFont="1" applyBorder="1"/>
    <xf numFmtId="0" fontId="24" fillId="0" borderId="22" xfId="0" applyFont="1" applyBorder="1"/>
    <xf numFmtId="0" fontId="24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167" fontId="12" fillId="0" borderId="13" xfId="0" applyNumberFormat="1" applyFont="1" applyBorder="1" applyAlignment="1">
      <alignment horizontal="center"/>
    </xf>
    <xf numFmtId="167" fontId="19" fillId="0" borderId="13" xfId="0" applyNumberFormat="1" applyFont="1" applyBorder="1" applyAlignment="1">
      <alignment horizontal="center"/>
    </xf>
    <xf numFmtId="0" fontId="13" fillId="0" borderId="16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49" fontId="12" fillId="0" borderId="22" xfId="0" applyNumberFormat="1" applyFont="1" applyBorder="1"/>
    <xf numFmtId="0" fontId="18" fillId="0" borderId="0" xfId="0" applyFont="1" applyBorder="1"/>
    <xf numFmtId="0" fontId="18" fillId="0" borderId="16" xfId="0" applyFont="1" applyBorder="1"/>
    <xf numFmtId="49" fontId="12" fillId="0" borderId="12" xfId="0" applyNumberFormat="1" applyFont="1" applyBorder="1"/>
    <xf numFmtId="0" fontId="18" fillId="0" borderId="12" xfId="0" applyFont="1" applyBorder="1"/>
    <xf numFmtId="2" fontId="15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49" fontId="19" fillId="0" borderId="10" xfId="0" applyNumberFormat="1" applyFont="1" applyBorder="1"/>
    <xf numFmtId="2" fontId="19" fillId="0" borderId="0" xfId="0" applyNumberFormat="1" applyFont="1" applyBorder="1" applyAlignment="1">
      <alignment horizontal="center"/>
    </xf>
    <xf numFmtId="2" fontId="19" fillId="0" borderId="13" xfId="0" applyNumberFormat="1" applyFont="1" applyBorder="1" applyAlignment="1">
      <alignment horizontal="center"/>
    </xf>
    <xf numFmtId="2" fontId="19" fillId="0" borderId="22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2" fillId="0" borderId="10" xfId="0" applyFont="1" applyBorder="1"/>
    <xf numFmtId="0" fontId="18" fillId="0" borderId="20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/>
    <xf numFmtId="0" fontId="19" fillId="0" borderId="19" xfId="0" applyFont="1" applyBorder="1" applyAlignment="1">
      <alignment horizontal="center"/>
    </xf>
    <xf numFmtId="0" fontId="12" fillId="0" borderId="19" xfId="0" applyFont="1" applyBorder="1"/>
    <xf numFmtId="0" fontId="14" fillId="0" borderId="14" xfId="0" applyFont="1" applyBorder="1"/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167" fontId="14" fillId="0" borderId="14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13" xfId="0" applyNumberFormat="1" applyFont="1" applyBorder="1" applyAlignment="1">
      <alignment horizontal="center"/>
    </xf>
    <xf numFmtId="166" fontId="23" fillId="0" borderId="14" xfId="0" applyNumberFormat="1" applyFont="1" applyBorder="1" applyAlignment="1">
      <alignment horizontal="center"/>
    </xf>
    <xf numFmtId="167" fontId="16" fillId="0" borderId="0" xfId="0" applyNumberFormat="1" applyFont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/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14" xfId="0" applyFont="1" applyBorder="1"/>
    <xf numFmtId="0" fontId="14" fillId="0" borderId="12" xfId="0" applyFont="1" applyBorder="1"/>
    <xf numFmtId="0" fontId="14" fillId="0" borderId="2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2" xfId="0" applyFont="1" applyBorder="1"/>
    <xf numFmtId="49" fontId="18" fillId="0" borderId="15" xfId="0" applyNumberFormat="1" applyFont="1" applyBorder="1" applyAlignment="1">
      <alignment horizontal="center"/>
    </xf>
    <xf numFmtId="0" fontId="18" fillId="0" borderId="20" xfId="0" applyFont="1" applyBorder="1"/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left"/>
    </xf>
    <xf numFmtId="49" fontId="18" fillId="0" borderId="16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0" fontId="18" fillId="0" borderId="22" xfId="0" applyFont="1" applyBorder="1"/>
    <xf numFmtId="49" fontId="12" fillId="0" borderId="15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16" fillId="0" borderId="0" xfId="0" applyFont="1" applyBorder="1"/>
    <xf numFmtId="167" fontId="13" fillId="0" borderId="14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0" fontId="19" fillId="0" borderId="20" xfId="0" applyFont="1" applyBorder="1"/>
    <xf numFmtId="166" fontId="12" fillId="0" borderId="20" xfId="0" applyNumberFormat="1" applyFont="1" applyBorder="1" applyAlignment="1">
      <alignment horizontal="center"/>
    </xf>
    <xf numFmtId="49" fontId="11" fillId="0" borderId="16" xfId="0" applyNumberFormat="1" applyFont="1" applyBorder="1"/>
    <xf numFmtId="0" fontId="11" fillId="0" borderId="0" xfId="0" applyFont="1" applyBorder="1"/>
    <xf numFmtId="49" fontId="15" fillId="0" borderId="14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9" fontId="15" fillId="0" borderId="14" xfId="0" applyNumberFormat="1" applyFont="1" applyBorder="1" applyAlignment="1">
      <alignment horizontal="left"/>
    </xf>
    <xf numFmtId="0" fontId="15" fillId="0" borderId="0" xfId="0" applyFont="1" applyBorder="1"/>
    <xf numFmtId="0" fontId="15" fillId="0" borderId="16" xfId="0" applyFont="1" applyBorder="1"/>
    <xf numFmtId="167" fontId="18" fillId="0" borderId="16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left"/>
    </xf>
    <xf numFmtId="0" fontId="15" fillId="0" borderId="22" xfId="0" applyFont="1" applyBorder="1"/>
    <xf numFmtId="167" fontId="18" fillId="0" borderId="11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/>
    <xf numFmtId="0" fontId="13" fillId="0" borderId="13" xfId="0" applyFont="1" applyBorder="1" applyAlignment="1">
      <alignment horizontal="center"/>
    </xf>
    <xf numFmtId="166" fontId="13" fillId="0" borderId="16" xfId="0" applyNumberFormat="1" applyFont="1" applyBorder="1" applyAlignment="1">
      <alignment horizontal="center"/>
    </xf>
    <xf numFmtId="0" fontId="12" fillId="0" borderId="13" xfId="0" applyFont="1" applyBorder="1"/>
    <xf numFmtId="166" fontId="12" fillId="0" borderId="16" xfId="0" applyNumberFormat="1" applyFon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2" fontId="12" fillId="0" borderId="16" xfId="0" applyNumberFormat="1" applyFont="1" applyBorder="1"/>
    <xf numFmtId="49" fontId="12" fillId="0" borderId="10" xfId="0" applyNumberFormat="1" applyFont="1" applyBorder="1"/>
    <xf numFmtId="0" fontId="16" fillId="0" borderId="20" xfId="0" applyFont="1" applyBorder="1" applyAlignment="1">
      <alignment horizontal="center"/>
    </xf>
    <xf numFmtId="0" fontId="16" fillId="0" borderId="22" xfId="0" applyFont="1" applyBorder="1"/>
    <xf numFmtId="0" fontId="15" fillId="0" borderId="16" xfId="0" applyFont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2" fontId="22" fillId="0" borderId="14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5" fillId="0" borderId="14" xfId="0" applyFont="1" applyBorder="1"/>
    <xf numFmtId="166" fontId="15" fillId="0" borderId="16" xfId="0" applyNumberFormat="1" applyFont="1" applyBorder="1" applyAlignment="1">
      <alignment horizontal="center"/>
    </xf>
    <xf numFmtId="166" fontId="22" fillId="0" borderId="16" xfId="0" applyNumberFormat="1" applyFont="1" applyBorder="1" applyAlignment="1">
      <alignment horizontal="center"/>
    </xf>
    <xf numFmtId="49" fontId="16" fillId="0" borderId="10" xfId="0" applyNumberFormat="1" applyFont="1" applyBorder="1"/>
    <xf numFmtId="0" fontId="16" fillId="0" borderId="16" xfId="0" applyFont="1" applyBorder="1"/>
    <xf numFmtId="49" fontId="19" fillId="0" borderId="12" xfId="0" applyNumberFormat="1" applyFont="1" applyBorder="1"/>
    <xf numFmtId="0" fontId="16" fillId="0" borderId="11" xfId="0" applyFont="1" applyBorder="1"/>
    <xf numFmtId="0" fontId="16" fillId="0" borderId="22" xfId="0" applyFont="1" applyBorder="1" applyAlignment="1">
      <alignment horizontal="center"/>
    </xf>
    <xf numFmtId="166" fontId="19" fillId="0" borderId="16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166" fontId="15" fillId="0" borderId="11" xfId="0" applyNumberFormat="1" applyFont="1" applyBorder="1" applyAlignment="1">
      <alignment horizontal="center"/>
    </xf>
    <xf numFmtId="49" fontId="11" fillId="0" borderId="12" xfId="0" applyNumberFormat="1" applyFont="1" applyBorder="1"/>
    <xf numFmtId="2" fontId="15" fillId="0" borderId="22" xfId="0" applyNumberFormat="1" applyFont="1" applyBorder="1" applyAlignment="1">
      <alignment horizontal="center"/>
    </xf>
    <xf numFmtId="49" fontId="12" fillId="0" borderId="15" xfId="0" applyNumberFormat="1" applyFont="1" applyBorder="1"/>
    <xf numFmtId="49" fontId="12" fillId="0" borderId="11" xfId="0" applyNumberFormat="1" applyFont="1" applyBorder="1"/>
    <xf numFmtId="0" fontId="19" fillId="0" borderId="14" xfId="0" applyFont="1" applyBorder="1" applyAlignment="1">
      <alignment horizontal="center"/>
    </xf>
    <xf numFmtId="2" fontId="26" fillId="0" borderId="16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67" fontId="26" fillId="0" borderId="14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49" fontId="13" fillId="0" borderId="14" xfId="0" applyNumberFormat="1" applyFont="1" applyBorder="1"/>
    <xf numFmtId="167" fontId="12" fillId="0" borderId="0" xfId="0" applyNumberFormat="1" applyFont="1" applyAlignment="1">
      <alignment horizontal="center"/>
    </xf>
    <xf numFmtId="0" fontId="13" fillId="0" borderId="0" xfId="0" applyFont="1" applyBorder="1"/>
    <xf numFmtId="2" fontId="12" fillId="0" borderId="11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0" fontId="29" fillId="0" borderId="0" xfId="0" applyFont="1"/>
    <xf numFmtId="2" fontId="15" fillId="0" borderId="12" xfId="0" applyNumberFormat="1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164" fontId="15" fillId="0" borderId="11" xfId="0" applyNumberFormat="1" applyFont="1" applyBorder="1" applyAlignment="1">
      <alignment horizontal="center"/>
    </xf>
    <xf numFmtId="0" fontId="15" fillId="0" borderId="11" xfId="0" applyFont="1" applyBorder="1"/>
    <xf numFmtId="0" fontId="15" fillId="0" borderId="11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16" fillId="0" borderId="14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167" fontId="31" fillId="0" borderId="0" xfId="0" applyNumberFormat="1" applyFont="1"/>
    <xf numFmtId="2" fontId="12" fillId="0" borderId="20" xfId="0" applyNumberFormat="1" applyFont="1" applyBorder="1"/>
    <xf numFmtId="0" fontId="13" fillId="0" borderId="0" xfId="0" applyFont="1"/>
    <xf numFmtId="1" fontId="0" fillId="0" borderId="0" xfId="0" applyNumberFormat="1"/>
    <xf numFmtId="2" fontId="18" fillId="0" borderId="12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left"/>
    </xf>
    <xf numFmtId="0" fontId="13" fillId="0" borderId="16" xfId="0" applyFont="1" applyBorder="1"/>
    <xf numFmtId="2" fontId="13" fillId="0" borderId="0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13" fillId="0" borderId="16" xfId="0" applyNumberFormat="1" applyFont="1" applyBorder="1"/>
    <xf numFmtId="0" fontId="13" fillId="0" borderId="0" xfId="0" applyFont="1" applyAlignment="1">
      <alignment horizontal="left"/>
    </xf>
    <xf numFmtId="2" fontId="0" fillId="0" borderId="0" xfId="0" applyNumberForma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2" fontId="19" fillId="0" borderId="14" xfId="0" applyNumberFormat="1" applyFont="1" applyBorder="1"/>
    <xf numFmtId="2" fontId="19" fillId="0" borderId="12" xfId="0" applyNumberFormat="1" applyFont="1" applyBorder="1"/>
    <xf numFmtId="2" fontId="19" fillId="0" borderId="15" xfId="0" applyNumberFormat="1" applyFont="1" applyBorder="1"/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center"/>
    </xf>
    <xf numFmtId="0" fontId="12" fillId="0" borderId="14" xfId="0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167" fontId="19" fillId="0" borderId="0" xfId="0" applyNumberFormat="1" applyFont="1" applyFill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8" fillId="0" borderId="14" xfId="0" applyNumberFormat="1" applyFont="1" applyFill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31" fillId="0" borderId="0" xfId="0" applyFont="1"/>
    <xf numFmtId="0" fontId="19" fillId="0" borderId="14" xfId="0" applyFont="1" applyBorder="1" applyAlignment="1">
      <alignment vertical="top" wrapText="1"/>
    </xf>
    <xf numFmtId="166" fontId="12" fillId="0" borderId="14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center"/>
    </xf>
    <xf numFmtId="1" fontId="0" fillId="0" borderId="0" xfId="0" applyNumberFormat="1" applyFill="1"/>
    <xf numFmtId="0" fontId="12" fillId="0" borderId="0" xfId="0" applyFont="1" applyAlignment="1">
      <alignment wrapText="1"/>
    </xf>
    <xf numFmtId="0" fontId="18" fillId="0" borderId="14" xfId="0" applyFont="1" applyBorder="1" applyAlignment="1">
      <alignment horizontal="center" vertical="top" wrapText="1"/>
    </xf>
    <xf numFmtId="1" fontId="12" fillId="0" borderId="14" xfId="0" applyNumberFormat="1" applyFont="1" applyBorder="1" applyAlignment="1">
      <alignment horizontal="center" vertical="top"/>
    </xf>
    <xf numFmtId="2" fontId="12" fillId="0" borderId="1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2" fontId="19" fillId="0" borderId="21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67" fontId="19" fillId="0" borderId="14" xfId="0" applyNumberFormat="1" applyFont="1" applyBorder="1" applyAlignment="1">
      <alignment horizontal="center"/>
    </xf>
    <xf numFmtId="167" fontId="19" fillId="0" borderId="0" xfId="0" applyNumberFormat="1" applyFont="1"/>
    <xf numFmtId="167" fontId="12" fillId="0" borderId="0" xfId="0" applyNumberFormat="1" applyFont="1"/>
    <xf numFmtId="2" fontId="19" fillId="0" borderId="13" xfId="0" applyNumberFormat="1" applyFont="1" applyFill="1" applyBorder="1" applyAlignment="1">
      <alignment horizontal="center"/>
    </xf>
    <xf numFmtId="167" fontId="19" fillId="0" borderId="14" xfId="0" applyNumberFormat="1" applyFont="1" applyFill="1" applyBorder="1" applyAlignment="1">
      <alignment horizontal="center"/>
    </xf>
    <xf numFmtId="167" fontId="19" fillId="0" borderId="13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68" fontId="12" fillId="0" borderId="14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67" fontId="12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/>
    <xf numFmtId="168" fontId="12" fillId="0" borderId="14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168" fontId="19" fillId="0" borderId="13" xfId="0" applyNumberFormat="1" applyFont="1" applyBorder="1" applyAlignment="1">
      <alignment horizontal="center"/>
    </xf>
    <xf numFmtId="168" fontId="19" fillId="0" borderId="14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/>
    </xf>
    <xf numFmtId="168" fontId="50" fillId="0" borderId="13" xfId="0" applyNumberFormat="1" applyFont="1" applyBorder="1" applyAlignment="1">
      <alignment horizontal="center"/>
    </xf>
    <xf numFmtId="168" fontId="51" fillId="0" borderId="14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center"/>
    </xf>
    <xf numFmtId="0" fontId="11" fillId="0" borderId="17" xfId="0" applyFont="1" applyBorder="1"/>
    <xf numFmtId="168" fontId="24" fillId="0" borderId="17" xfId="0" applyNumberFormat="1" applyFont="1" applyBorder="1" applyAlignment="1">
      <alignment horizontal="center"/>
    </xf>
    <xf numFmtId="0" fontId="19" fillId="18" borderId="0" xfId="0" applyFont="1" applyFill="1"/>
    <xf numFmtId="0" fontId="12" fillId="18" borderId="0" xfId="0" applyFont="1" applyFill="1"/>
    <xf numFmtId="0" fontId="12" fillId="18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12" fillId="18" borderId="10" xfId="0" applyFont="1" applyFill="1" applyBorder="1"/>
    <xf numFmtId="0" fontId="12" fillId="18" borderId="15" xfId="0" applyFont="1" applyFill="1" applyBorder="1" applyAlignment="1">
      <alignment horizontal="center"/>
    </xf>
    <xf numFmtId="0" fontId="12" fillId="18" borderId="16" xfId="0" applyFont="1" applyFill="1" applyBorder="1" applyAlignment="1">
      <alignment horizontal="center"/>
    </xf>
    <xf numFmtId="0" fontId="12" fillId="18" borderId="14" xfId="0" applyFont="1" applyFill="1" applyBorder="1"/>
    <xf numFmtId="0" fontId="12" fillId="18" borderId="14" xfId="0" applyFont="1" applyFill="1" applyBorder="1" applyAlignment="1">
      <alignment horizontal="center"/>
    </xf>
    <xf numFmtId="0" fontId="12" fillId="18" borderId="13" xfId="0" applyFont="1" applyFill="1" applyBorder="1" applyAlignment="1">
      <alignment horizontal="center"/>
    </xf>
    <xf numFmtId="0" fontId="12" fillId="18" borderId="0" xfId="0" applyFont="1" applyFill="1" applyBorder="1" applyAlignment="1">
      <alignment horizontal="center"/>
    </xf>
    <xf numFmtId="0" fontId="12" fillId="18" borderId="11" xfId="0" applyFont="1" applyFill="1" applyBorder="1" applyAlignment="1">
      <alignment horizontal="center"/>
    </xf>
    <xf numFmtId="0" fontId="12" fillId="18" borderId="11" xfId="0" applyFont="1" applyFill="1" applyBorder="1"/>
    <xf numFmtId="0" fontId="12" fillId="18" borderId="12" xfId="0" applyFont="1" applyFill="1" applyBorder="1" applyAlignment="1">
      <alignment horizontal="center"/>
    </xf>
    <xf numFmtId="0" fontId="19" fillId="18" borderId="16" xfId="0" applyFont="1" applyFill="1" applyBorder="1" applyAlignment="1">
      <alignment horizontal="center"/>
    </xf>
    <xf numFmtId="0" fontId="19" fillId="18" borderId="14" xfId="0" applyFont="1" applyFill="1" applyBorder="1"/>
    <xf numFmtId="168" fontId="19" fillId="18" borderId="13" xfId="0" applyNumberFormat="1" applyFont="1" applyFill="1" applyBorder="1" applyAlignment="1">
      <alignment horizontal="center"/>
    </xf>
    <xf numFmtId="167" fontId="19" fillId="18" borderId="14" xfId="0" applyNumberFormat="1" applyFont="1" applyFill="1" applyBorder="1" applyAlignment="1">
      <alignment horizontal="center"/>
    </xf>
    <xf numFmtId="167" fontId="19" fillId="18" borderId="13" xfId="0" applyNumberFormat="1" applyFont="1" applyFill="1" applyBorder="1" applyAlignment="1">
      <alignment horizontal="center"/>
    </xf>
    <xf numFmtId="168" fontId="12" fillId="18" borderId="13" xfId="0" applyNumberFormat="1" applyFont="1" applyFill="1" applyBorder="1" applyAlignment="1">
      <alignment horizontal="center"/>
    </xf>
    <xf numFmtId="168" fontId="12" fillId="18" borderId="14" xfId="0" applyNumberFormat="1" applyFont="1" applyFill="1" applyBorder="1" applyAlignment="1">
      <alignment horizontal="center"/>
    </xf>
    <xf numFmtId="167" fontId="12" fillId="18" borderId="14" xfId="0" applyNumberFormat="1" applyFont="1" applyFill="1" applyBorder="1" applyAlignment="1">
      <alignment horizontal="center"/>
    </xf>
    <xf numFmtId="167" fontId="12" fillId="18" borderId="13" xfId="0" applyNumberFormat="1" applyFont="1" applyFill="1" applyBorder="1" applyAlignment="1">
      <alignment horizontal="center"/>
    </xf>
    <xf numFmtId="168" fontId="12" fillId="18" borderId="0" xfId="0" applyNumberFormat="1" applyFont="1" applyFill="1" applyAlignment="1">
      <alignment horizontal="center"/>
    </xf>
    <xf numFmtId="168" fontId="19" fillId="18" borderId="14" xfId="0" applyNumberFormat="1" applyFont="1" applyFill="1" applyBorder="1" applyAlignment="1">
      <alignment horizontal="center"/>
    </xf>
    <xf numFmtId="168" fontId="19" fillId="18" borderId="0" xfId="0" applyNumberFormat="1" applyFont="1" applyFill="1" applyAlignment="1">
      <alignment horizontal="center"/>
    </xf>
    <xf numFmtId="168" fontId="12" fillId="18" borderId="0" xfId="0" applyNumberFormat="1" applyFont="1" applyFill="1" applyBorder="1" applyAlignment="1">
      <alignment horizontal="center"/>
    </xf>
    <xf numFmtId="168" fontId="16" fillId="18" borderId="13" xfId="0" applyNumberFormat="1" applyFont="1" applyFill="1" applyBorder="1" applyAlignment="1">
      <alignment horizontal="center"/>
    </xf>
    <xf numFmtId="2" fontId="12" fillId="18" borderId="16" xfId="0" applyNumberFormat="1" applyFont="1" applyFill="1" applyBorder="1" applyAlignment="1">
      <alignment horizontal="center"/>
    </xf>
    <xf numFmtId="0" fontId="12" fillId="18" borderId="18" xfId="0" applyFont="1" applyFill="1" applyBorder="1" applyAlignment="1">
      <alignment horizontal="center"/>
    </xf>
    <xf numFmtId="0" fontId="11" fillId="18" borderId="17" xfId="0" applyFont="1" applyFill="1" applyBorder="1"/>
    <xf numFmtId="0" fontId="24" fillId="18" borderId="17" xfId="0" applyFont="1" applyFill="1" applyBorder="1" applyAlignment="1">
      <alignment horizontal="center"/>
    </xf>
    <xf numFmtId="2" fontId="17" fillId="18" borderId="17" xfId="0" applyNumberFormat="1" applyFont="1" applyFill="1" applyBorder="1" applyAlignment="1">
      <alignment horizontal="center"/>
    </xf>
    <xf numFmtId="0" fontId="12" fillId="18" borderId="17" xfId="0" applyFont="1" applyFill="1" applyBorder="1" applyAlignment="1">
      <alignment horizontal="center"/>
    </xf>
    <xf numFmtId="0" fontId="12" fillId="18" borderId="23" xfId="0" applyFont="1" applyFill="1" applyBorder="1"/>
    <xf numFmtId="170" fontId="14" fillId="0" borderId="17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center"/>
    </xf>
    <xf numFmtId="49" fontId="15" fillId="0" borderId="17" xfId="0" applyNumberFormat="1" applyFont="1" applyBorder="1" applyAlignment="1">
      <alignment horizontal="left"/>
    </xf>
    <xf numFmtId="49" fontId="16" fillId="0" borderId="17" xfId="0" applyNumberFormat="1" applyFont="1" applyBorder="1" applyAlignment="1">
      <alignment horizontal="left"/>
    </xf>
    <xf numFmtId="49" fontId="16" fillId="0" borderId="23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3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Normal="100" workbookViewId="0">
      <selection activeCell="C23" sqref="C23"/>
    </sheetView>
  </sheetViews>
  <sheetFormatPr defaultRowHeight="12.75"/>
  <cols>
    <col min="1" max="1" width="3.85546875" style="36" customWidth="1"/>
    <col min="2" max="2" width="33.42578125" style="36" customWidth="1"/>
    <col min="3" max="3" width="16.28515625" style="36" customWidth="1"/>
    <col min="4" max="4" width="8.7109375" style="36" customWidth="1"/>
    <col min="5" max="5" width="16.7109375" style="37" customWidth="1"/>
    <col min="6" max="6" width="16.28515625" style="36" customWidth="1"/>
    <col min="7" max="7" width="15.140625" style="36" customWidth="1"/>
    <col min="8" max="8" width="11.140625" style="36" customWidth="1"/>
    <col min="9" max="9" width="16" style="37" customWidth="1"/>
    <col min="10" max="10" width="13" style="36" bestFit="1" customWidth="1"/>
    <col min="11" max="11" width="11.85546875" style="36" customWidth="1"/>
    <col min="12" max="16384" width="9.140625" style="36"/>
  </cols>
  <sheetData>
    <row r="1" spans="1:13" ht="18" customHeight="1">
      <c r="A1" s="69" t="s">
        <v>653</v>
      </c>
      <c r="B1" s="401" t="s">
        <v>400</v>
      </c>
      <c r="C1" s="401"/>
      <c r="D1" s="401"/>
      <c r="E1" s="401"/>
      <c r="F1" s="401"/>
      <c r="G1" s="401"/>
      <c r="H1" s="401"/>
      <c r="I1" s="401"/>
      <c r="J1" s="401"/>
    </row>
    <row r="2" spans="1:13" ht="15.75">
      <c r="A2" s="69"/>
      <c r="B2" s="402" t="s">
        <v>401</v>
      </c>
      <c r="C2" s="402"/>
      <c r="D2" s="402"/>
      <c r="E2" s="402"/>
      <c r="F2" s="402"/>
      <c r="G2" s="402"/>
      <c r="H2" s="402"/>
      <c r="I2" s="402"/>
      <c r="J2" s="402"/>
    </row>
    <row r="3" spans="1:13">
      <c r="B3" s="400" t="s">
        <v>673</v>
      </c>
      <c r="C3" s="400"/>
      <c r="D3" s="400"/>
      <c r="E3" s="400"/>
      <c r="F3" s="400"/>
      <c r="G3" s="400"/>
      <c r="H3" s="400"/>
      <c r="I3" s="400"/>
    </row>
    <row r="4" spans="1:13">
      <c r="A4" s="334" t="s">
        <v>8</v>
      </c>
      <c r="B4" s="176"/>
      <c r="C4" s="44" t="s">
        <v>403</v>
      </c>
      <c r="D4" s="44" t="s">
        <v>108</v>
      </c>
      <c r="E4" s="44" t="s">
        <v>403</v>
      </c>
      <c r="F4" s="334" t="s">
        <v>108</v>
      </c>
      <c r="G4" s="44" t="s">
        <v>403</v>
      </c>
      <c r="H4" s="44" t="s">
        <v>108</v>
      </c>
      <c r="I4" s="44" t="s">
        <v>403</v>
      </c>
      <c r="J4" s="44" t="s">
        <v>108</v>
      </c>
    </row>
    <row r="5" spans="1:13">
      <c r="A5" s="48" t="s">
        <v>412</v>
      </c>
      <c r="B5" s="55"/>
      <c r="C5" s="37" t="s">
        <v>404</v>
      </c>
      <c r="D5" s="49" t="s">
        <v>109</v>
      </c>
      <c r="E5" s="37" t="s">
        <v>404</v>
      </c>
      <c r="F5" s="48" t="s">
        <v>109</v>
      </c>
      <c r="G5" s="49" t="s">
        <v>404</v>
      </c>
      <c r="H5" s="49" t="s">
        <v>109</v>
      </c>
      <c r="I5" s="49" t="s">
        <v>404</v>
      </c>
      <c r="J5" s="49" t="s">
        <v>109</v>
      </c>
    </row>
    <row r="6" spans="1:13">
      <c r="A6" s="48"/>
      <c r="B6" s="55" t="s">
        <v>626</v>
      </c>
      <c r="C6" s="37" t="s">
        <v>356</v>
      </c>
      <c r="D6" s="49" t="s">
        <v>206</v>
      </c>
      <c r="E6" s="37" t="s">
        <v>356</v>
      </c>
      <c r="F6" s="48" t="s">
        <v>206</v>
      </c>
      <c r="G6" s="49" t="s">
        <v>358</v>
      </c>
      <c r="H6" s="49" t="s">
        <v>206</v>
      </c>
      <c r="I6" s="37" t="s">
        <v>114</v>
      </c>
      <c r="J6" s="49" t="s">
        <v>206</v>
      </c>
    </row>
    <row r="7" spans="1:13">
      <c r="A7" s="48"/>
      <c r="B7" s="55"/>
      <c r="C7" s="37" t="s">
        <v>257</v>
      </c>
      <c r="D7" s="49"/>
      <c r="E7" s="37" t="s">
        <v>357</v>
      </c>
      <c r="F7" s="48"/>
      <c r="G7" s="49" t="s">
        <v>359</v>
      </c>
      <c r="I7" s="49" t="s">
        <v>115</v>
      </c>
      <c r="J7" s="49"/>
    </row>
    <row r="8" spans="1:13">
      <c r="A8" s="48"/>
      <c r="B8" s="55"/>
      <c r="C8" s="79"/>
      <c r="D8" s="49" t="s">
        <v>96</v>
      </c>
      <c r="E8" s="49"/>
      <c r="F8" s="49" t="s">
        <v>96</v>
      </c>
      <c r="G8" s="49"/>
      <c r="H8" s="49" t="s">
        <v>96</v>
      </c>
      <c r="I8" s="49" t="s">
        <v>116</v>
      </c>
      <c r="J8" s="49" t="s">
        <v>96</v>
      </c>
    </row>
    <row r="9" spans="1:13">
      <c r="A9" s="48"/>
      <c r="B9" s="55"/>
      <c r="C9" s="79" t="s">
        <v>360</v>
      </c>
      <c r="D9" s="49"/>
      <c r="E9" s="79" t="s">
        <v>360</v>
      </c>
      <c r="F9" s="49"/>
      <c r="G9" s="46" t="s">
        <v>360</v>
      </c>
      <c r="H9" s="49"/>
      <c r="I9" s="79" t="s">
        <v>360</v>
      </c>
      <c r="J9" s="49"/>
    </row>
    <row r="10" spans="1:13" s="33" customFormat="1">
      <c r="A10" s="115"/>
      <c r="B10" s="104"/>
      <c r="C10" s="115" t="s">
        <v>402</v>
      </c>
      <c r="D10" s="115"/>
      <c r="E10" s="115" t="s">
        <v>402</v>
      </c>
      <c r="F10" s="115"/>
      <c r="G10" s="115" t="s">
        <v>402</v>
      </c>
      <c r="H10" s="115"/>
      <c r="I10" s="115" t="s">
        <v>402</v>
      </c>
      <c r="J10" s="106"/>
    </row>
    <row r="11" spans="1:13">
      <c r="A11" s="48"/>
      <c r="B11" s="55"/>
      <c r="C11" s="79"/>
      <c r="D11" s="49"/>
      <c r="E11" s="63"/>
      <c r="F11" s="49"/>
      <c r="G11" s="179"/>
      <c r="H11" s="79"/>
      <c r="I11" s="178"/>
      <c r="J11" s="55"/>
    </row>
    <row r="12" spans="1:13" ht="14.25">
      <c r="A12" s="337">
        <v>1</v>
      </c>
      <c r="B12" s="94" t="s">
        <v>110</v>
      </c>
      <c r="C12" s="173">
        <v>1225.3399999999999</v>
      </c>
      <c r="D12" s="338">
        <f>C12/C32*100</f>
        <v>43.550611316462891</v>
      </c>
      <c r="E12" s="173">
        <v>1654.64</v>
      </c>
      <c r="F12" s="338">
        <f>E12/E32*100</f>
        <v>49.18361220018965</v>
      </c>
      <c r="G12" s="173">
        <v>1224.28</v>
      </c>
      <c r="H12" s="154">
        <f>G12/G32*100</f>
        <v>42.624423361476197</v>
      </c>
      <c r="I12" s="173">
        <v>914.95</v>
      </c>
      <c r="J12" s="338">
        <f>I12/I32*100</f>
        <v>38.293321949341241</v>
      </c>
      <c r="K12" s="339"/>
      <c r="L12" s="339"/>
      <c r="M12" s="340"/>
    </row>
    <row r="13" spans="1:13">
      <c r="A13" s="48"/>
      <c r="B13" s="55"/>
      <c r="C13" s="179"/>
      <c r="D13" s="99"/>
      <c r="E13" s="63"/>
      <c r="F13" s="99"/>
      <c r="G13" s="179"/>
      <c r="H13" s="153"/>
      <c r="I13" s="178"/>
      <c r="J13" s="99"/>
    </row>
    <row r="14" spans="1:13" ht="14.25">
      <c r="A14" s="337">
        <v>2</v>
      </c>
      <c r="B14" s="94" t="s">
        <v>111</v>
      </c>
      <c r="C14" s="341">
        <v>553.14</v>
      </c>
      <c r="D14" s="342">
        <f>C14/C32*100</f>
        <v>19.659510946829684</v>
      </c>
      <c r="E14" s="341">
        <v>604.69000000000005</v>
      </c>
      <c r="F14" s="342">
        <f>E14/E32*100</f>
        <v>17.974204939644078</v>
      </c>
      <c r="G14" s="341">
        <v>440.95</v>
      </c>
      <c r="H14" s="343">
        <f>G14/G32*100</f>
        <v>15.352075898685699</v>
      </c>
      <c r="I14" s="341">
        <v>374.54</v>
      </c>
      <c r="J14" s="338">
        <f>I14/I32*100</f>
        <v>15.675589707531854</v>
      </c>
    </row>
    <row r="15" spans="1:13" ht="14.25">
      <c r="A15" s="337"/>
      <c r="B15" s="94" t="s">
        <v>112</v>
      </c>
      <c r="C15" s="179"/>
      <c r="D15" s="99"/>
      <c r="E15" s="63"/>
      <c r="F15" s="99"/>
      <c r="G15" s="179"/>
      <c r="H15" s="153"/>
      <c r="I15" s="178"/>
      <c r="J15" s="99"/>
    </row>
    <row r="16" spans="1:13">
      <c r="A16" s="48"/>
      <c r="B16" s="55"/>
      <c r="C16" s="179"/>
      <c r="D16" s="99"/>
      <c r="E16" s="63"/>
      <c r="F16" s="99"/>
      <c r="G16" s="179"/>
      <c r="H16" s="153"/>
      <c r="I16" s="178"/>
      <c r="J16" s="99"/>
    </row>
    <row r="17" spans="1:11" ht="14.25">
      <c r="A17" s="337">
        <v>3</v>
      </c>
      <c r="B17" s="94" t="s">
        <v>405</v>
      </c>
      <c r="C17" s="341">
        <v>1035.1199999999999</v>
      </c>
      <c r="D17" s="342">
        <f>C17/C32*100</f>
        <v>36.789877736707417</v>
      </c>
      <c r="E17" s="344">
        <v>1104.8799999999999</v>
      </c>
      <c r="F17" s="342">
        <f>E17/E32*100</f>
        <v>32.842182860166275</v>
      </c>
      <c r="G17" s="341">
        <v>1207.02</v>
      </c>
      <c r="H17" s="343">
        <f>G17/G32*100</f>
        <v>42.023500739838106</v>
      </c>
      <c r="I17" s="345">
        <v>1099.83</v>
      </c>
      <c r="J17" s="338">
        <f>I17/I32*100</f>
        <v>46.031088343126918</v>
      </c>
    </row>
    <row r="18" spans="1:11">
      <c r="A18" s="48"/>
      <c r="B18" s="55" t="s">
        <v>406</v>
      </c>
      <c r="C18" s="346"/>
      <c r="D18" s="347"/>
      <c r="E18" s="348"/>
      <c r="F18" s="349"/>
      <c r="G18" s="346"/>
      <c r="H18" s="326"/>
      <c r="I18" s="305"/>
      <c r="J18" s="99"/>
    </row>
    <row r="19" spans="1:11">
      <c r="A19" s="48"/>
      <c r="B19" s="55" t="s">
        <v>185</v>
      </c>
      <c r="C19" s="346"/>
      <c r="D19" s="347"/>
      <c r="E19" s="348"/>
      <c r="F19" s="349"/>
      <c r="G19" s="346"/>
      <c r="H19" s="326"/>
      <c r="I19" s="350"/>
      <c r="J19" s="99"/>
    </row>
    <row r="20" spans="1:11">
      <c r="A20" s="48"/>
      <c r="B20" s="55" t="s">
        <v>202</v>
      </c>
      <c r="C20" s="346">
        <v>47.67</v>
      </c>
      <c r="D20" s="347"/>
      <c r="E20" s="346">
        <v>47.67</v>
      </c>
      <c r="F20" s="349"/>
      <c r="G20" s="346">
        <v>47.67</v>
      </c>
      <c r="H20" s="349"/>
      <c r="I20" s="346">
        <v>47.67</v>
      </c>
      <c r="J20" s="99"/>
      <c r="K20" s="351"/>
    </row>
    <row r="21" spans="1:11">
      <c r="A21" s="48"/>
      <c r="B21" s="55" t="s">
        <v>203</v>
      </c>
      <c r="C21" s="179">
        <v>223.33</v>
      </c>
      <c r="D21" s="352"/>
      <c r="E21" s="179">
        <v>223.33</v>
      </c>
      <c r="F21" s="99"/>
      <c r="G21" s="179">
        <v>223.33</v>
      </c>
      <c r="H21" s="99"/>
      <c r="I21" s="179">
        <v>223.33</v>
      </c>
      <c r="J21" s="99"/>
    </row>
    <row r="22" spans="1:11">
      <c r="A22" s="48"/>
      <c r="B22" s="55" t="s">
        <v>187</v>
      </c>
      <c r="C22" s="179">
        <v>30.56</v>
      </c>
      <c r="D22" s="352"/>
      <c r="E22" s="179">
        <v>30.56</v>
      </c>
      <c r="F22" s="99"/>
      <c r="G22" s="179">
        <v>30.56</v>
      </c>
      <c r="H22" s="99"/>
      <c r="I22" s="179">
        <v>30.56</v>
      </c>
      <c r="J22" s="99"/>
    </row>
    <row r="23" spans="1:11">
      <c r="A23" s="48"/>
      <c r="B23" s="55" t="s">
        <v>132</v>
      </c>
      <c r="C23" s="179">
        <v>25.2</v>
      </c>
      <c r="D23" s="352"/>
      <c r="E23" s="179">
        <v>25.2</v>
      </c>
      <c r="F23" s="99"/>
      <c r="G23" s="179">
        <v>25.2</v>
      </c>
      <c r="H23" s="99"/>
      <c r="I23" s="179">
        <v>25.2</v>
      </c>
      <c r="J23" s="99"/>
    </row>
    <row r="24" spans="1:11">
      <c r="A24" s="48"/>
      <c r="B24" s="55" t="s">
        <v>204</v>
      </c>
      <c r="C24" s="179">
        <v>35.549999999999997</v>
      </c>
      <c r="D24" s="352"/>
      <c r="E24" s="179">
        <v>35.549999999999997</v>
      </c>
      <c r="F24" s="99"/>
      <c r="G24" s="179">
        <v>35.549999999999997</v>
      </c>
      <c r="H24" s="99"/>
      <c r="I24" s="179">
        <v>35.549999999999997</v>
      </c>
      <c r="J24" s="99"/>
    </row>
    <row r="25" spans="1:11">
      <c r="A25" s="48"/>
      <c r="B25" s="55" t="s">
        <v>205</v>
      </c>
      <c r="C25" s="179">
        <v>637.98</v>
      </c>
      <c r="D25" s="352"/>
      <c r="E25" s="179">
        <v>637.98</v>
      </c>
      <c r="F25" s="99"/>
      <c r="G25" s="179">
        <v>637.98</v>
      </c>
      <c r="H25" s="99"/>
      <c r="I25" s="179">
        <v>637.98</v>
      </c>
      <c r="J25" s="99"/>
    </row>
    <row r="26" spans="1:11" ht="15">
      <c r="A26" s="48"/>
      <c r="B26" s="55"/>
      <c r="C26" s="353"/>
      <c r="D26" s="352"/>
      <c r="E26" s="63"/>
      <c r="F26" s="99"/>
      <c r="G26" s="179"/>
      <c r="H26" s="153"/>
      <c r="I26" s="178"/>
      <c r="J26" s="99"/>
    </row>
    <row r="27" spans="1:11">
      <c r="A27" s="48"/>
      <c r="B27" s="55" t="s">
        <v>113</v>
      </c>
      <c r="C27" s="179" t="s">
        <v>90</v>
      </c>
      <c r="D27" s="352"/>
      <c r="E27" s="179">
        <v>28.78</v>
      </c>
      <c r="F27" s="99"/>
      <c r="G27" s="179">
        <v>102.5</v>
      </c>
      <c r="H27" s="153"/>
      <c r="I27" s="178" t="s">
        <v>90</v>
      </c>
      <c r="J27" s="99"/>
    </row>
    <row r="28" spans="1:11">
      <c r="A28" s="48"/>
      <c r="B28" s="55" t="s">
        <v>176</v>
      </c>
      <c r="C28" s="179">
        <v>2.8</v>
      </c>
      <c r="D28" s="352"/>
      <c r="E28" s="179">
        <v>43.78</v>
      </c>
      <c r="F28" s="99"/>
      <c r="G28" s="179">
        <v>72.2</v>
      </c>
      <c r="H28" s="153"/>
      <c r="I28" s="179">
        <v>67.510000000000005</v>
      </c>
      <c r="J28" s="99"/>
    </row>
    <row r="29" spans="1:11">
      <c r="A29" s="48"/>
      <c r="B29" s="55" t="s">
        <v>407</v>
      </c>
      <c r="C29" s="179">
        <v>16.98</v>
      </c>
      <c r="D29" s="352"/>
      <c r="E29" s="179">
        <v>16.98</v>
      </c>
      <c r="F29" s="99"/>
      <c r="G29" s="179">
        <v>16.98</v>
      </c>
      <c r="H29" s="99"/>
      <c r="I29" s="179">
        <v>16.98</v>
      </c>
      <c r="J29" s="99"/>
    </row>
    <row r="30" spans="1:11">
      <c r="A30" s="48"/>
      <c r="B30" s="55" t="s">
        <v>408</v>
      </c>
      <c r="C30" s="179">
        <v>15.05</v>
      </c>
      <c r="D30" s="352"/>
      <c r="E30" s="179">
        <v>15.05</v>
      </c>
      <c r="F30" s="99"/>
      <c r="G30" s="179">
        <v>15.05</v>
      </c>
      <c r="H30" s="99"/>
      <c r="I30" s="179">
        <v>15.05</v>
      </c>
      <c r="J30" s="99"/>
    </row>
    <row r="31" spans="1:11">
      <c r="A31" s="48"/>
      <c r="B31" s="55"/>
      <c r="C31" s="179"/>
      <c r="D31" s="352"/>
      <c r="E31" s="63"/>
      <c r="F31" s="99"/>
      <c r="G31" s="179"/>
      <c r="H31" s="153"/>
      <c r="I31" s="178"/>
      <c r="J31" s="99"/>
    </row>
    <row r="32" spans="1:11" ht="44.25">
      <c r="A32" s="294">
        <v>4</v>
      </c>
      <c r="B32" s="324" t="s">
        <v>661</v>
      </c>
      <c r="C32" s="173">
        <f>C12+C14+C17</f>
        <v>2813.6</v>
      </c>
      <c r="D32" s="128">
        <f>SUM(D12:D17)</f>
        <v>100</v>
      </c>
      <c r="E32" s="173">
        <f>E12+E14+E17</f>
        <v>3364.21</v>
      </c>
      <c r="F32" s="128">
        <f>SUM(F12:F17)</f>
        <v>100</v>
      </c>
      <c r="G32" s="173">
        <f>G12+G14+G17</f>
        <v>2872.25</v>
      </c>
      <c r="H32" s="128">
        <f>SUM(H12:H31)</f>
        <v>100</v>
      </c>
      <c r="I32" s="173">
        <f>I12+I14+I17</f>
        <v>2389.3199999999997</v>
      </c>
      <c r="J32" s="128">
        <f>SUM(J12:J17)</f>
        <v>100.00000000000001</v>
      </c>
    </row>
    <row r="33" spans="1:11" ht="30">
      <c r="A33" s="294">
        <v>5</v>
      </c>
      <c r="B33" s="333" t="s">
        <v>663</v>
      </c>
      <c r="C33" s="354"/>
      <c r="D33" s="355"/>
      <c r="E33" s="128"/>
      <c r="F33" s="355"/>
      <c r="G33" s="356">
        <f>ROUND((G12+G14+G17-1378/2)*0.18,2)</f>
        <v>392.99</v>
      </c>
      <c r="H33" s="128"/>
      <c r="I33" s="356"/>
      <c r="J33" s="355"/>
    </row>
    <row r="34" spans="1:11" ht="15">
      <c r="A34" s="294">
        <v>6</v>
      </c>
      <c r="B34" s="333" t="s">
        <v>662</v>
      </c>
      <c r="C34" s="357"/>
      <c r="D34" s="358"/>
      <c r="E34" s="357"/>
      <c r="F34" s="358"/>
      <c r="G34" s="173">
        <f>G12+G14+G17+G33</f>
        <v>3265.24</v>
      </c>
      <c r="H34" s="359"/>
      <c r="I34" s="357"/>
      <c r="J34" s="358"/>
      <c r="K34" s="340"/>
    </row>
    <row r="35" spans="1:11" ht="31.5" customHeight="1">
      <c r="A35" s="335"/>
      <c r="B35" s="360" t="s">
        <v>611</v>
      </c>
      <c r="C35" s="361"/>
      <c r="D35" s="361"/>
      <c r="E35" s="361"/>
      <c r="F35" s="399">
        <f>(C32*6.5+E32*11.38+G32*58.42+I32*23.7)/100</f>
        <v>2809.9683880000002</v>
      </c>
      <c r="G35" s="398">
        <f>(C32*6.5+E32*11.38+G34*58.42+I32*23.7)/100</f>
        <v>3039.5531459999997</v>
      </c>
      <c r="H35" s="405" t="s">
        <v>672</v>
      </c>
      <c r="I35" s="406"/>
      <c r="J35" s="407"/>
    </row>
    <row r="36" spans="1:11">
      <c r="C36" s="37"/>
      <c r="D36" s="37"/>
      <c r="F36" s="321"/>
      <c r="G36" s="37"/>
      <c r="H36" s="37"/>
    </row>
    <row r="37" spans="1:11" ht="15.75" hidden="1" customHeight="1">
      <c r="A37" s="362"/>
      <c r="B37" s="403" t="s">
        <v>400</v>
      </c>
      <c r="C37" s="403"/>
      <c r="D37" s="403"/>
      <c r="E37" s="403"/>
      <c r="F37" s="403"/>
      <c r="G37" s="403"/>
      <c r="H37" s="403"/>
      <c r="I37" s="403"/>
      <c r="J37" s="403"/>
    </row>
    <row r="38" spans="1:11" ht="15.75" hidden="1" customHeight="1">
      <c r="A38" s="362"/>
      <c r="B38" s="404" t="s">
        <v>401</v>
      </c>
      <c r="C38" s="404"/>
      <c r="D38" s="404"/>
      <c r="E38" s="404"/>
      <c r="F38" s="404"/>
      <c r="G38" s="404"/>
      <c r="H38" s="404"/>
      <c r="I38" s="404"/>
      <c r="J38" s="404"/>
    </row>
    <row r="39" spans="1:11" ht="20.25" hidden="1" customHeight="1">
      <c r="A39" s="363"/>
      <c r="B39" s="363" t="s">
        <v>629</v>
      </c>
      <c r="C39" s="364"/>
      <c r="D39" s="364"/>
      <c r="E39" s="364"/>
      <c r="F39" s="364"/>
      <c r="G39" s="364"/>
      <c r="H39" s="364"/>
      <c r="I39" s="364"/>
      <c r="J39" s="365">
        <v>2</v>
      </c>
    </row>
    <row r="40" spans="1:11" hidden="1">
      <c r="A40" s="366" t="s">
        <v>8</v>
      </c>
      <c r="B40" s="367"/>
      <c r="C40" s="368" t="s">
        <v>403</v>
      </c>
      <c r="D40" s="368" t="s">
        <v>108</v>
      </c>
      <c r="E40" s="368" t="s">
        <v>403</v>
      </c>
      <c r="F40" s="366" t="s">
        <v>108</v>
      </c>
      <c r="G40" s="368" t="s">
        <v>403</v>
      </c>
      <c r="H40" s="368" t="s">
        <v>108</v>
      </c>
      <c r="I40" s="368" t="s">
        <v>403</v>
      </c>
      <c r="J40" s="368" t="s">
        <v>108</v>
      </c>
    </row>
    <row r="41" spans="1:11" hidden="1">
      <c r="A41" s="369" t="s">
        <v>412</v>
      </c>
      <c r="B41" s="370"/>
      <c r="C41" s="364" t="s">
        <v>404</v>
      </c>
      <c r="D41" s="371" t="s">
        <v>109</v>
      </c>
      <c r="E41" s="364" t="s">
        <v>404</v>
      </c>
      <c r="F41" s="369" t="s">
        <v>109</v>
      </c>
      <c r="G41" s="371" t="s">
        <v>404</v>
      </c>
      <c r="H41" s="371" t="s">
        <v>109</v>
      </c>
      <c r="I41" s="371" t="s">
        <v>404</v>
      </c>
      <c r="J41" s="371" t="s">
        <v>109</v>
      </c>
    </row>
    <row r="42" spans="1:11" hidden="1">
      <c r="A42" s="369"/>
      <c r="B42" s="370"/>
      <c r="C42" s="364" t="s">
        <v>356</v>
      </c>
      <c r="D42" s="371" t="s">
        <v>206</v>
      </c>
      <c r="E42" s="364" t="s">
        <v>356</v>
      </c>
      <c r="F42" s="369" t="s">
        <v>206</v>
      </c>
      <c r="G42" s="371" t="s">
        <v>358</v>
      </c>
      <c r="H42" s="371" t="s">
        <v>206</v>
      </c>
      <c r="I42" s="364" t="s">
        <v>114</v>
      </c>
      <c r="J42" s="371" t="s">
        <v>206</v>
      </c>
    </row>
    <row r="43" spans="1:11" hidden="1">
      <c r="A43" s="369"/>
      <c r="B43" s="370"/>
      <c r="C43" s="364" t="s">
        <v>257</v>
      </c>
      <c r="D43" s="371"/>
      <c r="E43" s="364" t="s">
        <v>357</v>
      </c>
      <c r="F43" s="369"/>
      <c r="G43" s="371" t="s">
        <v>359</v>
      </c>
      <c r="H43" s="363"/>
      <c r="I43" s="371" t="s">
        <v>115</v>
      </c>
      <c r="J43" s="371"/>
    </row>
    <row r="44" spans="1:11" hidden="1">
      <c r="A44" s="369"/>
      <c r="B44" s="370"/>
      <c r="C44" s="372"/>
      <c r="D44" s="371" t="s">
        <v>96</v>
      </c>
      <c r="E44" s="371"/>
      <c r="F44" s="371" t="s">
        <v>96</v>
      </c>
      <c r="G44" s="371"/>
      <c r="H44" s="371" t="s">
        <v>96</v>
      </c>
      <c r="I44" s="371" t="s">
        <v>116</v>
      </c>
      <c r="J44" s="371" t="s">
        <v>96</v>
      </c>
    </row>
    <row r="45" spans="1:11" hidden="1">
      <c r="A45" s="369"/>
      <c r="B45" s="370"/>
      <c r="C45" s="372" t="s">
        <v>360</v>
      </c>
      <c r="D45" s="371"/>
      <c r="E45" s="372" t="s">
        <v>360</v>
      </c>
      <c r="F45" s="371"/>
      <c r="G45" s="373" t="s">
        <v>360</v>
      </c>
      <c r="H45" s="371"/>
      <c r="I45" s="372" t="s">
        <v>360</v>
      </c>
      <c r="J45" s="371"/>
    </row>
    <row r="46" spans="1:11" hidden="1">
      <c r="A46" s="374"/>
      <c r="B46" s="375"/>
      <c r="C46" s="374" t="s">
        <v>402</v>
      </c>
      <c r="D46" s="374"/>
      <c r="E46" s="374" t="s">
        <v>402</v>
      </c>
      <c r="F46" s="374"/>
      <c r="G46" s="374" t="s">
        <v>402</v>
      </c>
      <c r="H46" s="374"/>
      <c r="I46" s="374" t="s">
        <v>402</v>
      </c>
      <c r="J46" s="376"/>
    </row>
    <row r="47" spans="1:11" hidden="1">
      <c r="A47" s="369"/>
      <c r="B47" s="370"/>
      <c r="C47" s="372"/>
      <c r="D47" s="371"/>
      <c r="E47" s="371"/>
      <c r="F47" s="371"/>
      <c r="G47" s="372"/>
      <c r="H47" s="372"/>
      <c r="I47" s="364"/>
      <c r="J47" s="370"/>
    </row>
    <row r="48" spans="1:11" ht="14.25" hidden="1">
      <c r="A48" s="377">
        <v>1</v>
      </c>
      <c r="B48" s="378" t="s">
        <v>110</v>
      </c>
      <c r="C48" s="379" t="e">
        <f>' 06(проди)'!#REF!</f>
        <v>#REF!</v>
      </c>
      <c r="D48" s="380" t="e">
        <f>C48/C71*100</f>
        <v>#REF!</v>
      </c>
      <c r="E48" s="379" t="e">
        <f>'618(проди)'!#REF!</f>
        <v>#REF!</v>
      </c>
      <c r="F48" s="380" t="e">
        <f>E48/E71*100</f>
        <v>#REF!</v>
      </c>
      <c r="G48" s="379" t="e">
        <f>'прац(проди)'!#REF!</f>
        <v>#REF!</v>
      </c>
      <c r="H48" s="381" t="e">
        <f>G48/G71*100</f>
        <v>#REF!</v>
      </c>
      <c r="I48" s="379" t="e">
        <f>'пенс(проди)'!#REF!</f>
        <v>#REF!</v>
      </c>
      <c r="J48" s="380" t="e">
        <f>I48/I71*100</f>
        <v>#REF!</v>
      </c>
    </row>
    <row r="49" spans="1:10" hidden="1">
      <c r="A49" s="369"/>
      <c r="B49" s="370"/>
      <c r="C49" s="382"/>
      <c r="D49" s="371"/>
      <c r="E49" s="383"/>
      <c r="F49" s="384"/>
      <c r="G49" s="382"/>
      <c r="H49" s="385"/>
      <c r="I49" s="386"/>
      <c r="J49" s="384"/>
    </row>
    <row r="50" spans="1:10" ht="14.25" hidden="1">
      <c r="A50" s="377">
        <v>2</v>
      </c>
      <c r="B50" s="378" t="s">
        <v>111</v>
      </c>
      <c r="C50" s="379" t="e">
        <f>'0-6(непроди)'!#REF!</f>
        <v>#REF!</v>
      </c>
      <c r="D50" s="380" t="e">
        <f>C50/C71*100</f>
        <v>#REF!</v>
      </c>
      <c r="E50" s="379" t="e">
        <f>'6-18(непроди)'!#REF!</f>
        <v>#REF!</v>
      </c>
      <c r="F50" s="380" t="e">
        <f>E50/E71*100</f>
        <v>#REF!</v>
      </c>
      <c r="G50" s="379" t="e">
        <f>'прац(непроди)'!#REF!</f>
        <v>#REF!</v>
      </c>
      <c r="H50" s="381" t="e">
        <f>G50/G71*100</f>
        <v>#REF!</v>
      </c>
      <c r="I50" s="379" t="e">
        <f>'пен(непроди)'!#REF!</f>
        <v>#REF!</v>
      </c>
      <c r="J50" s="380" t="e">
        <f>I50/I71*100</f>
        <v>#REF!</v>
      </c>
    </row>
    <row r="51" spans="1:10" ht="14.25" hidden="1">
      <c r="A51" s="377"/>
      <c r="B51" s="378" t="s">
        <v>112</v>
      </c>
      <c r="C51" s="382"/>
      <c r="D51" s="371"/>
      <c r="E51" s="383"/>
      <c r="F51" s="384"/>
      <c r="G51" s="382"/>
      <c r="H51" s="385"/>
      <c r="I51" s="386"/>
      <c r="J51" s="384"/>
    </row>
    <row r="52" spans="1:10" hidden="1">
      <c r="A52" s="369"/>
      <c r="B52" s="370"/>
      <c r="C52" s="382"/>
      <c r="D52" s="371"/>
      <c r="E52" s="383"/>
      <c r="F52" s="384"/>
      <c r="G52" s="382"/>
      <c r="H52" s="385"/>
      <c r="I52" s="386"/>
      <c r="J52" s="384"/>
    </row>
    <row r="53" spans="1:10" ht="14.25" hidden="1">
      <c r="A53" s="377">
        <v>3</v>
      </c>
      <c r="B53" s="378" t="s">
        <v>405</v>
      </c>
      <c r="C53" s="379" t="e">
        <f>SUM(C56:C66)</f>
        <v>#REF!</v>
      </c>
      <c r="D53" s="380" t="e">
        <f>C53/C71*100</f>
        <v>#REF!</v>
      </c>
      <c r="E53" s="387" t="e">
        <f>SUM(E56:E66)</f>
        <v>#REF!</v>
      </c>
      <c r="F53" s="380" t="e">
        <f>E53/E71*100</f>
        <v>#REF!</v>
      </c>
      <c r="G53" s="379" t="e">
        <f>SUM(G56:G66)</f>
        <v>#REF!</v>
      </c>
      <c r="H53" s="381" t="e">
        <f>G53/G71*100</f>
        <v>#REF!</v>
      </c>
      <c r="I53" s="388" t="e">
        <f>SUM(I56:I66)</f>
        <v>#REF!</v>
      </c>
      <c r="J53" s="380" t="e">
        <f>I53/I71*100</f>
        <v>#REF!</v>
      </c>
    </row>
    <row r="54" spans="1:10" hidden="1">
      <c r="A54" s="369"/>
      <c r="B54" s="370" t="s">
        <v>406</v>
      </c>
      <c r="C54" s="382"/>
      <c r="D54" s="371"/>
      <c r="E54" s="383"/>
      <c r="F54" s="384"/>
      <c r="G54" s="382"/>
      <c r="H54" s="372"/>
      <c r="I54" s="389"/>
      <c r="J54" s="371"/>
    </row>
    <row r="55" spans="1:10" hidden="1">
      <c r="A55" s="369"/>
      <c r="B55" s="370" t="s">
        <v>185</v>
      </c>
      <c r="C55" s="382"/>
      <c r="D55" s="371"/>
      <c r="E55" s="383"/>
      <c r="F55" s="371"/>
      <c r="G55" s="382"/>
      <c r="H55" s="372"/>
      <c r="I55" s="386"/>
      <c r="J55" s="371"/>
    </row>
    <row r="56" spans="1:10" hidden="1">
      <c r="A56" s="369"/>
      <c r="B56" s="370" t="s">
        <v>202</v>
      </c>
      <c r="C56" s="382" t="e">
        <f>'ком(послуги)'!#REF!</f>
        <v>#REF!</v>
      </c>
      <c r="D56" s="371"/>
      <c r="E56" s="382" t="e">
        <f>'ком(послуги)'!#REF!</f>
        <v>#REF!</v>
      </c>
      <c r="F56" s="371"/>
      <c r="G56" s="382" t="e">
        <f>'ком(послуги)'!#REF!</f>
        <v>#REF!</v>
      </c>
      <c r="H56" s="371"/>
      <c r="I56" s="382" t="e">
        <f>'ком(послуги)'!#REF!</f>
        <v>#REF!</v>
      </c>
      <c r="J56" s="371"/>
    </row>
    <row r="57" spans="1:10" hidden="1">
      <c r="A57" s="369"/>
      <c r="B57" s="370" t="s">
        <v>203</v>
      </c>
      <c r="C57" s="382" t="e">
        <f>'ком(послуги)'!#REF!</f>
        <v>#REF!</v>
      </c>
      <c r="D57" s="371"/>
      <c r="E57" s="382" t="e">
        <f>'ком(послуги)'!#REF!</f>
        <v>#REF!</v>
      </c>
      <c r="F57" s="371"/>
      <c r="G57" s="382" t="e">
        <f>'ком(послуги)'!#REF!</f>
        <v>#REF!</v>
      </c>
      <c r="H57" s="371"/>
      <c r="I57" s="382" t="e">
        <f>'ком(послуги)'!#REF!</f>
        <v>#REF!</v>
      </c>
      <c r="J57" s="371"/>
    </row>
    <row r="58" spans="1:10" hidden="1">
      <c r="A58" s="369"/>
      <c r="B58" s="370" t="s">
        <v>187</v>
      </c>
      <c r="C58" s="382" t="e">
        <f>'ком(послуги)'!#REF!</f>
        <v>#REF!</v>
      </c>
      <c r="D58" s="371"/>
      <c r="E58" s="382" t="e">
        <f>'ком(послуги)'!#REF!</f>
        <v>#REF!</v>
      </c>
      <c r="F58" s="371"/>
      <c r="G58" s="382" t="e">
        <f>'ком(послуги)'!#REF!</f>
        <v>#REF!</v>
      </c>
      <c r="H58" s="371"/>
      <c r="I58" s="382" t="e">
        <f>'ком(послуги)'!#REF!</f>
        <v>#REF!</v>
      </c>
      <c r="J58" s="371"/>
    </row>
    <row r="59" spans="1:10" hidden="1">
      <c r="A59" s="369"/>
      <c r="B59" s="370" t="s">
        <v>132</v>
      </c>
      <c r="C59" s="382" t="e">
        <f>'ком(послуги)'!#REF!</f>
        <v>#REF!</v>
      </c>
      <c r="D59" s="371"/>
      <c r="E59" s="382" t="e">
        <f>'ком(послуги)'!#REF!</f>
        <v>#REF!</v>
      </c>
      <c r="F59" s="371"/>
      <c r="G59" s="382" t="e">
        <f>'ком(послуги)'!#REF!</f>
        <v>#REF!</v>
      </c>
      <c r="H59" s="371"/>
      <c r="I59" s="382" t="e">
        <f>'ком(послуги)'!#REF!</f>
        <v>#REF!</v>
      </c>
      <c r="J59" s="371"/>
    </row>
    <row r="60" spans="1:10" hidden="1">
      <c r="A60" s="369"/>
      <c r="B60" s="370" t="s">
        <v>204</v>
      </c>
      <c r="C60" s="382" t="e">
        <f>'ком(послуги)'!#REF!</f>
        <v>#REF!</v>
      </c>
      <c r="D60" s="371"/>
      <c r="E60" s="382" t="e">
        <f>'ком(послуги)'!#REF!</f>
        <v>#REF!</v>
      </c>
      <c r="F60" s="371"/>
      <c r="G60" s="382" t="e">
        <f>'ком(послуги)'!#REF!</f>
        <v>#REF!</v>
      </c>
      <c r="H60" s="371"/>
      <c r="I60" s="382" t="e">
        <f>'ком(послуги)'!#REF!</f>
        <v>#REF!</v>
      </c>
      <c r="J60" s="371"/>
    </row>
    <row r="61" spans="1:10" hidden="1">
      <c r="A61" s="369"/>
      <c r="B61" s="370" t="s">
        <v>205</v>
      </c>
      <c r="C61" s="382" t="e">
        <f>#REF!</f>
        <v>#REF!</v>
      </c>
      <c r="D61" s="371"/>
      <c r="E61" s="382" t="e">
        <f>#REF!</f>
        <v>#REF!</v>
      </c>
      <c r="F61" s="371"/>
      <c r="G61" s="382" t="e">
        <f>#REF!</f>
        <v>#REF!</v>
      </c>
      <c r="H61" s="371"/>
      <c r="I61" s="382" t="e">
        <f>#REF!</f>
        <v>#REF!</v>
      </c>
      <c r="J61" s="371"/>
    </row>
    <row r="62" spans="1:10" ht="15" hidden="1">
      <c r="A62" s="369"/>
      <c r="B62" s="370"/>
      <c r="C62" s="390"/>
      <c r="D62" s="371"/>
      <c r="E62" s="383"/>
      <c r="F62" s="371"/>
      <c r="G62" s="382"/>
      <c r="H62" s="372"/>
      <c r="I62" s="386"/>
      <c r="J62" s="371"/>
    </row>
    <row r="63" spans="1:10" hidden="1">
      <c r="A63" s="369"/>
      <c r="B63" s="370" t="s">
        <v>113</v>
      </c>
      <c r="C63" s="382" t="s">
        <v>90</v>
      </c>
      <c r="D63" s="371"/>
      <c r="E63" s="382" t="e">
        <f>транспорт!#REF!</f>
        <v>#REF!</v>
      </c>
      <c r="F63" s="371"/>
      <c r="G63" s="382" t="e">
        <f>транспорт!#REF!</f>
        <v>#REF!</v>
      </c>
      <c r="H63" s="372"/>
      <c r="I63" s="386" t="s">
        <v>90</v>
      </c>
      <c r="J63" s="371"/>
    </row>
    <row r="64" spans="1:10" hidden="1">
      <c r="A64" s="369"/>
      <c r="B64" s="370" t="s">
        <v>176</v>
      </c>
      <c r="C64" s="382" t="e">
        <f>побутові!#REF!</f>
        <v>#REF!</v>
      </c>
      <c r="D64" s="371"/>
      <c r="E64" s="382" t="e">
        <f>побутові!#REF!</f>
        <v>#REF!</v>
      </c>
      <c r="F64" s="371"/>
      <c r="G64" s="382" t="e">
        <f>побутові!#REF!</f>
        <v>#REF!</v>
      </c>
      <c r="H64" s="372"/>
      <c r="I64" s="382" t="e">
        <f>побутові!#REF!</f>
        <v>#REF!</v>
      </c>
      <c r="J64" s="371"/>
    </row>
    <row r="65" spans="1:10" hidden="1">
      <c r="A65" s="369"/>
      <c r="B65" s="370" t="s">
        <v>407</v>
      </c>
      <c r="C65" s="382" t="e">
        <f>'ком(послуги)'!#REF!</f>
        <v>#REF!</v>
      </c>
      <c r="D65" s="371"/>
      <c r="E65" s="382" t="e">
        <f>'ком(послуги)'!#REF!</f>
        <v>#REF!</v>
      </c>
      <c r="F65" s="371"/>
      <c r="G65" s="382" t="e">
        <f>'ком(послуги)'!#REF!</f>
        <v>#REF!</v>
      </c>
      <c r="H65" s="371"/>
      <c r="I65" s="382" t="e">
        <f>'ком(послуги)'!#REF!</f>
        <v>#REF!</v>
      </c>
      <c r="J65" s="371"/>
    </row>
    <row r="66" spans="1:10" hidden="1">
      <c r="A66" s="369"/>
      <c r="B66" s="370" t="s">
        <v>408</v>
      </c>
      <c r="C66" s="382" t="e">
        <f>'ком(послуги)'!#REF!</f>
        <v>#REF!</v>
      </c>
      <c r="D66" s="371"/>
      <c r="E66" s="382" t="e">
        <f>'ком(послуги)'!#REF!</f>
        <v>#REF!</v>
      </c>
      <c r="F66" s="371"/>
      <c r="G66" s="382" t="e">
        <f>'ком(послуги)'!#REF!</f>
        <v>#REF!</v>
      </c>
      <c r="H66" s="371"/>
      <c r="I66" s="382" t="e">
        <f>'ком(послуги)'!#REF!</f>
        <v>#REF!</v>
      </c>
      <c r="J66" s="371"/>
    </row>
    <row r="67" spans="1:10" hidden="1">
      <c r="A67" s="369"/>
      <c r="B67" s="370"/>
      <c r="C67" s="382"/>
      <c r="D67" s="371"/>
      <c r="E67" s="383"/>
      <c r="F67" s="371"/>
      <c r="G67" s="382"/>
      <c r="H67" s="372"/>
      <c r="I67" s="386"/>
      <c r="J67" s="371"/>
    </row>
    <row r="68" spans="1:10" ht="14.25" hidden="1">
      <c r="A68" s="377">
        <v>4</v>
      </c>
      <c r="B68" s="378" t="s">
        <v>409</v>
      </c>
      <c r="C68" s="382" t="s">
        <v>90</v>
      </c>
      <c r="D68" s="371"/>
      <c r="E68" s="383" t="s">
        <v>90</v>
      </c>
      <c r="F68" s="371"/>
      <c r="G68" s="379" t="e">
        <f>(G48+G50+G53)*0.031</f>
        <v>#REF!</v>
      </c>
      <c r="H68" s="381" t="e">
        <f>G68/G71*100</f>
        <v>#REF!</v>
      </c>
      <c r="I68" s="386" t="s">
        <v>90</v>
      </c>
      <c r="J68" s="371"/>
    </row>
    <row r="69" spans="1:10" ht="14.25" hidden="1">
      <c r="A69" s="377"/>
      <c r="B69" s="378" t="s">
        <v>410</v>
      </c>
      <c r="C69" s="382"/>
      <c r="D69" s="371"/>
      <c r="E69" s="383"/>
      <c r="F69" s="371"/>
      <c r="G69" s="382"/>
      <c r="H69" s="372"/>
      <c r="I69" s="386"/>
      <c r="J69" s="371"/>
    </row>
    <row r="70" spans="1:10" ht="14.25" hidden="1">
      <c r="A70" s="369"/>
      <c r="B70" s="370"/>
      <c r="C70" s="382"/>
      <c r="D70" s="371"/>
      <c r="E70" s="383"/>
      <c r="F70" s="371"/>
      <c r="G70" s="379"/>
      <c r="H70" s="381"/>
      <c r="I70" s="386"/>
      <c r="J70" s="371"/>
    </row>
    <row r="71" spans="1:10" ht="14.25" hidden="1">
      <c r="A71" s="377">
        <v>5</v>
      </c>
      <c r="B71" s="378" t="s">
        <v>411</v>
      </c>
      <c r="C71" s="379" t="e">
        <f>C48+C50+C53</f>
        <v>#REF!</v>
      </c>
      <c r="D71" s="380" t="e">
        <f>D48+D50+D53</f>
        <v>#REF!</v>
      </c>
      <c r="E71" s="387" t="e">
        <f>E48+E50+E53</f>
        <v>#REF!</v>
      </c>
      <c r="F71" s="380" t="e">
        <f>F48+F50+F53</f>
        <v>#REF!</v>
      </c>
      <c r="G71" s="388" t="e">
        <f>G48+G50+G53+G68</f>
        <v>#REF!</v>
      </c>
      <c r="H71" s="380" t="e">
        <f>H48+H50+H53+H68</f>
        <v>#REF!</v>
      </c>
      <c r="I71" s="388" t="e">
        <f>I48+I50+I53</f>
        <v>#REF!</v>
      </c>
      <c r="J71" s="380" t="e">
        <f>J48+J50+J53</f>
        <v>#REF!</v>
      </c>
    </row>
    <row r="72" spans="1:10" hidden="1">
      <c r="A72" s="369"/>
      <c r="B72" s="370"/>
      <c r="C72" s="372"/>
      <c r="D72" s="371"/>
      <c r="E72" s="371"/>
      <c r="F72" s="371"/>
      <c r="G72" s="372"/>
      <c r="H72" s="372"/>
      <c r="I72" s="391"/>
      <c r="J72" s="371"/>
    </row>
    <row r="73" spans="1:10" ht="18.75" hidden="1">
      <c r="A73" s="392"/>
      <c r="B73" s="393" t="s">
        <v>611</v>
      </c>
      <c r="C73" s="394"/>
      <c r="D73" s="394"/>
      <c r="E73" s="394"/>
      <c r="F73" s="395" t="e">
        <f>(C71*6.68+E71*11.02+G71*57.61+I71*24.69)/100</f>
        <v>#REF!</v>
      </c>
      <c r="G73" s="396"/>
      <c r="H73" s="396"/>
      <c r="I73" s="396"/>
      <c r="J73" s="397"/>
    </row>
    <row r="74" spans="1:10" ht="21.75" hidden="1" customHeight="1"/>
  </sheetData>
  <mergeCells count="6">
    <mergeCell ref="B3:I3"/>
    <mergeCell ref="B1:J1"/>
    <mergeCell ref="B2:J2"/>
    <mergeCell ref="B37:J37"/>
    <mergeCell ref="B38:J38"/>
    <mergeCell ref="H35:J35"/>
  </mergeCells>
  <phoneticPr fontId="30" type="noConversion"/>
  <printOptions horizontalCentered="1"/>
  <pageMargins left="0.43307086614173229" right="0.23622047244094491" top="0.27559055118110237" bottom="0.23622047244094491" header="0.27559055118110237" footer="0.19685039370078741"/>
  <pageSetup paperSize="9" scale="93" orientation="landscape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22" zoomScale="75" workbookViewId="0">
      <selection activeCell="F73" sqref="F73:F75"/>
    </sheetView>
  </sheetViews>
  <sheetFormatPr defaultRowHeight="12.75"/>
  <cols>
    <col min="1" max="1" width="6.28515625" style="24" customWidth="1"/>
    <col min="2" max="2" width="37.5703125" customWidth="1"/>
    <col min="3" max="3" width="7.140625" style="15" customWidth="1"/>
    <col min="4" max="4" width="19.7109375" customWidth="1"/>
    <col min="5" max="5" width="9.7109375" customWidth="1"/>
    <col min="6" max="6" width="12.7109375" customWidth="1"/>
  </cols>
  <sheetData>
    <row r="1" spans="1:6" ht="15.75">
      <c r="A1" s="414" t="s">
        <v>635</v>
      </c>
      <c r="B1" s="414"/>
      <c r="C1" s="414"/>
      <c r="D1" s="414"/>
      <c r="E1" s="414"/>
      <c r="F1" s="414"/>
    </row>
    <row r="2" spans="1:6" ht="15.75">
      <c r="A2" s="415" t="s">
        <v>419</v>
      </c>
      <c r="B2" s="415"/>
      <c r="C2" s="415"/>
      <c r="D2" s="415"/>
      <c r="E2" s="415"/>
      <c r="F2" s="415"/>
    </row>
    <row r="3" spans="1:6">
      <c r="A3" s="81" t="s">
        <v>42</v>
      </c>
      <c r="B3" s="224" t="s">
        <v>302</v>
      </c>
      <c r="C3" s="42" t="s">
        <v>92</v>
      </c>
      <c r="D3" s="56" t="s">
        <v>97</v>
      </c>
      <c r="E3" s="56" t="s">
        <v>94</v>
      </c>
      <c r="F3" s="42" t="s">
        <v>107</v>
      </c>
    </row>
    <row r="4" spans="1:6">
      <c r="A4" s="222" t="s">
        <v>373</v>
      </c>
      <c r="B4" s="84" t="s">
        <v>112</v>
      </c>
      <c r="C4" s="47" t="s">
        <v>81</v>
      </c>
      <c r="D4" s="54" t="s">
        <v>98</v>
      </c>
      <c r="E4" s="54" t="s">
        <v>95</v>
      </c>
      <c r="F4" s="47" t="s">
        <v>105</v>
      </c>
    </row>
    <row r="5" spans="1:6">
      <c r="A5" s="222"/>
      <c r="B5" s="243"/>
      <c r="C5" s="47"/>
      <c r="D5" s="54" t="s">
        <v>226</v>
      </c>
      <c r="E5" s="54" t="s">
        <v>671</v>
      </c>
      <c r="F5" s="49"/>
    </row>
    <row r="6" spans="1:6">
      <c r="A6" s="222"/>
      <c r="B6" s="80"/>
      <c r="C6" s="54"/>
      <c r="D6" s="54" t="s">
        <v>101</v>
      </c>
      <c r="E6" s="54" t="s">
        <v>669</v>
      </c>
      <c r="F6" s="49"/>
    </row>
    <row r="7" spans="1:6">
      <c r="A7" s="50"/>
      <c r="B7" s="33"/>
      <c r="C7" s="54"/>
      <c r="D7" s="108">
        <v>50</v>
      </c>
      <c r="E7" s="47"/>
      <c r="F7" s="49"/>
    </row>
    <row r="8" spans="1:6">
      <c r="A8" s="103"/>
      <c r="B8" s="104"/>
      <c r="C8" s="105"/>
      <c r="D8" s="244">
        <v>50</v>
      </c>
      <c r="E8" s="278" t="s">
        <v>660</v>
      </c>
      <c r="F8" s="124" t="s">
        <v>660</v>
      </c>
    </row>
    <row r="9" spans="1:6" ht="14.25">
      <c r="A9" s="245"/>
      <c r="B9" s="94" t="s">
        <v>127</v>
      </c>
      <c r="C9" s="77"/>
      <c r="D9" s="243"/>
      <c r="E9" s="82"/>
      <c r="F9" s="80"/>
    </row>
    <row r="10" spans="1:6" ht="14.25">
      <c r="A10" s="225"/>
      <c r="B10" s="69" t="s">
        <v>128</v>
      </c>
      <c r="C10" s="47"/>
      <c r="D10" s="243"/>
      <c r="E10" s="80"/>
      <c r="F10" s="246">
        <f>F12+F15+F19+F34+F43+F47+F52+F58+F61+F64+F71</f>
        <v>2826.8939738095237</v>
      </c>
    </row>
    <row r="11" spans="1:6">
      <c r="A11" s="225"/>
      <c r="B11" s="223"/>
      <c r="C11" s="47"/>
      <c r="D11" s="243"/>
      <c r="E11" s="80"/>
      <c r="F11" s="247"/>
    </row>
    <row r="12" spans="1:6" ht="14.25">
      <c r="A12" s="245">
        <v>1</v>
      </c>
      <c r="B12" s="94" t="s">
        <v>10</v>
      </c>
      <c r="C12" s="167"/>
      <c r="D12" s="243"/>
      <c r="E12" s="246"/>
      <c r="F12" s="246">
        <f>F13+F14</f>
        <v>195.13875000000002</v>
      </c>
    </row>
    <row r="13" spans="1:6">
      <c r="A13" s="225" t="s">
        <v>427</v>
      </c>
      <c r="B13" s="248" t="s">
        <v>297</v>
      </c>
      <c r="C13" s="77" t="s">
        <v>88</v>
      </c>
      <c r="D13" s="249">
        <f>1/4*$D$7/100</f>
        <v>0.125</v>
      </c>
      <c r="E13" s="63">
        <v>962.98</v>
      </c>
      <c r="F13" s="247">
        <f>E13*D13</f>
        <v>120.3725</v>
      </c>
    </row>
    <row r="14" spans="1:6">
      <c r="A14" s="225" t="s">
        <v>428</v>
      </c>
      <c r="B14" s="248" t="s">
        <v>590</v>
      </c>
      <c r="C14" s="77" t="s">
        <v>88</v>
      </c>
      <c r="D14" s="249">
        <f>1/8*$D$8/100</f>
        <v>6.25E-2</v>
      </c>
      <c r="E14" s="63">
        <v>1196.26</v>
      </c>
      <c r="F14" s="247">
        <f>E14*D14</f>
        <v>74.766249999999999</v>
      </c>
    </row>
    <row r="15" spans="1:6" ht="14.25">
      <c r="A15" s="245" t="s">
        <v>438</v>
      </c>
      <c r="B15" s="94" t="s">
        <v>581</v>
      </c>
      <c r="C15" s="167"/>
      <c r="D15" s="250"/>
      <c r="E15" s="63"/>
      <c r="F15" s="246">
        <f>F16+F17+F18</f>
        <v>328.86857142857139</v>
      </c>
    </row>
    <row r="16" spans="1:6">
      <c r="A16" s="225" t="s">
        <v>497</v>
      </c>
      <c r="B16" s="248" t="s">
        <v>590</v>
      </c>
      <c r="C16" s="77" t="s">
        <v>88</v>
      </c>
      <c r="D16" s="249">
        <f>1/7*$D$8/100</f>
        <v>7.1428571428571425E-2</v>
      </c>
      <c r="E16" s="63">
        <v>2555.4699999999998</v>
      </c>
      <c r="F16" s="247">
        <f>E16*D16</f>
        <v>182.53357142857141</v>
      </c>
    </row>
    <row r="17" spans="1:6">
      <c r="A17" s="225" t="s">
        <v>498</v>
      </c>
      <c r="B17" s="248" t="s">
        <v>71</v>
      </c>
      <c r="C17" s="77" t="s">
        <v>88</v>
      </c>
      <c r="D17" s="249">
        <f>1/5*$D$7/100</f>
        <v>0.1</v>
      </c>
      <c r="E17" s="63">
        <v>797.26</v>
      </c>
      <c r="F17" s="247">
        <f>E17*D17</f>
        <v>79.725999999999999</v>
      </c>
    </row>
    <row r="18" spans="1:6">
      <c r="A18" s="225" t="s">
        <v>499</v>
      </c>
      <c r="B18" s="248" t="s">
        <v>72</v>
      </c>
      <c r="C18" s="77" t="s">
        <v>88</v>
      </c>
      <c r="D18" s="249">
        <f>1/5*$D$8/100</f>
        <v>0.1</v>
      </c>
      <c r="E18" s="63">
        <v>666.09</v>
      </c>
      <c r="F18" s="247">
        <f>E18*D18</f>
        <v>66.609000000000009</v>
      </c>
    </row>
    <row r="19" spans="1:6" ht="14.25">
      <c r="A19" s="245" t="s">
        <v>439</v>
      </c>
      <c r="B19" s="94" t="s">
        <v>20</v>
      </c>
      <c r="C19" s="167"/>
      <c r="D19" s="250"/>
      <c r="E19" s="63"/>
      <c r="F19" s="246">
        <f>F20+F21+F22+F23+F25+F26+F27+F28+F29+F30+F31+F32+F33</f>
        <v>936.66474999999991</v>
      </c>
    </row>
    <row r="20" spans="1:6">
      <c r="A20" s="225" t="s">
        <v>481</v>
      </c>
      <c r="B20" s="248" t="s">
        <v>225</v>
      </c>
      <c r="C20" s="77" t="s">
        <v>88</v>
      </c>
      <c r="D20" s="249">
        <f>1/5*$D$7/100</f>
        <v>0.1</v>
      </c>
      <c r="E20" s="63">
        <v>1274.49</v>
      </c>
      <c r="F20" s="247">
        <f>E20*D20</f>
        <v>127.44900000000001</v>
      </c>
    </row>
    <row r="21" spans="1:6">
      <c r="A21" s="225" t="s">
        <v>482</v>
      </c>
      <c r="B21" s="248" t="s">
        <v>607</v>
      </c>
      <c r="C21" s="77" t="s">
        <v>88</v>
      </c>
      <c r="D21" s="249">
        <f>5/4*$D$7/100</f>
        <v>0.625</v>
      </c>
      <c r="E21" s="63">
        <v>228.34</v>
      </c>
      <c r="F21" s="247">
        <f>E21*D21</f>
        <v>142.71250000000001</v>
      </c>
    </row>
    <row r="22" spans="1:6">
      <c r="A22" s="225" t="s">
        <v>483</v>
      </c>
      <c r="B22" s="248" t="s">
        <v>73</v>
      </c>
      <c r="C22" s="77" t="s">
        <v>88</v>
      </c>
      <c r="D22" s="249">
        <f>1/4*$D$7/100</f>
        <v>0.125</v>
      </c>
      <c r="E22" s="63">
        <v>343.53</v>
      </c>
      <c r="F22" s="247">
        <f>E22*D22</f>
        <v>42.941249999999997</v>
      </c>
    </row>
    <row r="23" spans="1:6">
      <c r="A23" s="225" t="s">
        <v>484</v>
      </c>
      <c r="B23" s="248" t="s">
        <v>326</v>
      </c>
      <c r="C23" s="77" t="s">
        <v>88</v>
      </c>
      <c r="D23" s="249">
        <f>1/3*$D$7/100</f>
        <v>0.16666666666666663</v>
      </c>
      <c r="E23" s="63">
        <v>904.93</v>
      </c>
      <c r="F23" s="247">
        <f>E23*D23</f>
        <v>150.82166666666663</v>
      </c>
    </row>
    <row r="24" spans="1:6">
      <c r="A24" s="225"/>
      <c r="B24" s="248" t="s">
        <v>327</v>
      </c>
      <c r="C24" s="77"/>
      <c r="D24" s="249"/>
      <c r="E24" s="63"/>
      <c r="F24" s="246"/>
    </row>
    <row r="25" spans="1:6">
      <c r="A25" s="225" t="s">
        <v>485</v>
      </c>
      <c r="B25" s="248" t="s">
        <v>648</v>
      </c>
      <c r="C25" s="77" t="s">
        <v>88</v>
      </c>
      <c r="D25" s="249">
        <f>1/3*$D$7/100</f>
        <v>0.16666666666666663</v>
      </c>
      <c r="E25" s="137">
        <v>315.83999999999997</v>
      </c>
      <c r="F25" s="246">
        <f t="shared" ref="F25:F33" si="0">E25*D25</f>
        <v>52.639999999999986</v>
      </c>
    </row>
    <row r="26" spans="1:6">
      <c r="A26" s="225" t="s">
        <v>486</v>
      </c>
      <c r="B26" s="248" t="s">
        <v>649</v>
      </c>
      <c r="C26" s="77"/>
      <c r="D26" s="249">
        <f>1/3*$D$8/100</f>
        <v>0.16666666666666663</v>
      </c>
      <c r="E26" s="137">
        <v>291.42</v>
      </c>
      <c r="F26" s="246">
        <f t="shared" si="0"/>
        <v>48.569999999999993</v>
      </c>
    </row>
    <row r="27" spans="1:6">
      <c r="A27" s="225" t="s">
        <v>503</v>
      </c>
      <c r="B27" s="248" t="s">
        <v>74</v>
      </c>
      <c r="C27" s="77" t="s">
        <v>88</v>
      </c>
      <c r="D27" s="249">
        <f>1/5*$D$8/100</f>
        <v>0.1</v>
      </c>
      <c r="E27" s="63">
        <v>457.69</v>
      </c>
      <c r="F27" s="247">
        <f t="shared" si="0"/>
        <v>45.769000000000005</v>
      </c>
    </row>
    <row r="28" spans="1:6">
      <c r="A28" s="225" t="s">
        <v>504</v>
      </c>
      <c r="B28" s="248" t="s">
        <v>75</v>
      </c>
      <c r="C28" s="77" t="s">
        <v>88</v>
      </c>
      <c r="D28" s="249">
        <f>1/3*$D$8/100</f>
        <v>0.16666666666666663</v>
      </c>
      <c r="E28" s="63">
        <v>204.16</v>
      </c>
      <c r="F28" s="247">
        <f t="shared" si="0"/>
        <v>34.026666666666657</v>
      </c>
    </row>
    <row r="29" spans="1:6">
      <c r="A29" s="225" t="s">
        <v>531</v>
      </c>
      <c r="B29" s="248" t="s">
        <v>76</v>
      </c>
      <c r="C29" s="77" t="s">
        <v>88</v>
      </c>
      <c r="D29" s="249">
        <f>1/5*$D$8/100</f>
        <v>0.1</v>
      </c>
      <c r="E29" s="63">
        <v>204.16</v>
      </c>
      <c r="F29" s="247">
        <f t="shared" si="0"/>
        <v>20.416</v>
      </c>
    </row>
    <row r="30" spans="1:6">
      <c r="A30" s="225" t="s">
        <v>532</v>
      </c>
      <c r="B30" s="248" t="s">
        <v>342</v>
      </c>
      <c r="C30" s="77" t="s">
        <v>88</v>
      </c>
      <c r="D30" s="249">
        <f>3/5*$D$8/100</f>
        <v>0.3</v>
      </c>
      <c r="E30" s="63">
        <v>255.17</v>
      </c>
      <c r="F30" s="247">
        <f t="shared" si="0"/>
        <v>76.550999999999988</v>
      </c>
    </row>
    <row r="31" spans="1:6">
      <c r="A31" s="225" t="s">
        <v>533</v>
      </c>
      <c r="B31" s="248" t="s">
        <v>296</v>
      </c>
      <c r="C31" s="77" t="s">
        <v>88</v>
      </c>
      <c r="D31" s="249">
        <f>1/5*$D$8/100</f>
        <v>0.1</v>
      </c>
      <c r="E31" s="63">
        <v>311.26</v>
      </c>
      <c r="F31" s="247">
        <f t="shared" si="0"/>
        <v>31.126000000000001</v>
      </c>
    </row>
    <row r="32" spans="1:6">
      <c r="A32" s="225" t="s">
        <v>657</v>
      </c>
      <c r="B32" s="248" t="s">
        <v>654</v>
      </c>
      <c r="C32" s="77" t="s">
        <v>88</v>
      </c>
      <c r="D32" s="250">
        <f>1/3*$D$7/100</f>
        <v>0.16666666666666663</v>
      </c>
      <c r="E32" s="137">
        <v>499.43</v>
      </c>
      <c r="F32" s="246">
        <f t="shared" si="0"/>
        <v>83.238333333333316</v>
      </c>
    </row>
    <row r="33" spans="1:6">
      <c r="A33" s="24" t="s">
        <v>650</v>
      </c>
      <c r="B33" s="248" t="s">
        <v>658</v>
      </c>
      <c r="C33" s="77" t="s">
        <v>88</v>
      </c>
      <c r="D33" s="250">
        <f>1/3*$D$8/100</f>
        <v>0.16666666666666663</v>
      </c>
      <c r="E33" s="137">
        <v>482.42</v>
      </c>
      <c r="F33" s="246">
        <f t="shared" si="0"/>
        <v>80.403333333333322</v>
      </c>
    </row>
    <row r="34" spans="1:6" ht="14.25">
      <c r="A34" s="245" t="s">
        <v>440</v>
      </c>
      <c r="B34" s="94" t="s">
        <v>12</v>
      </c>
      <c r="C34" s="167"/>
      <c r="D34" s="250"/>
      <c r="E34" s="63"/>
      <c r="F34" s="246">
        <f>F35+F36+F37+F38+F39+F40+F41+F42</f>
        <v>322.28758333333337</v>
      </c>
    </row>
    <row r="35" spans="1:6">
      <c r="A35" s="225" t="s">
        <v>441</v>
      </c>
      <c r="B35" s="248" t="s">
        <v>77</v>
      </c>
      <c r="C35" s="77" t="s">
        <v>88</v>
      </c>
      <c r="D35" s="249">
        <f>5/2*$D$7/100</f>
        <v>1.25</v>
      </c>
      <c r="E35" s="63">
        <v>46.86</v>
      </c>
      <c r="F35" s="247">
        <f t="shared" ref="F35:F42" si="1">E35*D35</f>
        <v>58.575000000000003</v>
      </c>
    </row>
    <row r="36" spans="1:6">
      <c r="A36" s="225" t="s">
        <v>442</v>
      </c>
      <c r="B36" s="248" t="s">
        <v>591</v>
      </c>
      <c r="C36" s="77" t="s">
        <v>88</v>
      </c>
      <c r="D36" s="243">
        <f>2/1*$D$7/100</f>
        <v>1</v>
      </c>
      <c r="E36" s="63">
        <v>61.85</v>
      </c>
      <c r="F36" s="247">
        <f t="shared" si="1"/>
        <v>61.85</v>
      </c>
    </row>
    <row r="37" spans="1:6">
      <c r="A37" s="225" t="s">
        <v>443</v>
      </c>
      <c r="B37" s="248" t="s">
        <v>78</v>
      </c>
      <c r="C37" s="77" t="s">
        <v>88</v>
      </c>
      <c r="D37" s="249">
        <f>5/2*$D$8/100</f>
        <v>1.25</v>
      </c>
      <c r="E37" s="63">
        <v>38.17</v>
      </c>
      <c r="F37" s="247">
        <f t="shared" si="1"/>
        <v>47.712500000000006</v>
      </c>
    </row>
    <row r="38" spans="1:6">
      <c r="A38" s="225" t="s">
        <v>444</v>
      </c>
      <c r="B38" s="248" t="s">
        <v>22</v>
      </c>
      <c r="C38" s="77" t="s">
        <v>88</v>
      </c>
      <c r="D38" s="249">
        <f>2/2*$D$8/100</f>
        <v>0.5</v>
      </c>
      <c r="E38" s="63">
        <v>118.75</v>
      </c>
      <c r="F38" s="247">
        <f t="shared" si="1"/>
        <v>59.375</v>
      </c>
    </row>
    <row r="39" spans="1:6">
      <c r="A39" s="225" t="s">
        <v>445</v>
      </c>
      <c r="B39" s="248" t="s">
        <v>30</v>
      </c>
      <c r="C39" s="77" t="s">
        <v>88</v>
      </c>
      <c r="D39" s="249">
        <f>2/3*$D$8/100</f>
        <v>0.33333333333333326</v>
      </c>
      <c r="E39" s="63">
        <v>129.1</v>
      </c>
      <c r="F39" s="247">
        <f t="shared" si="1"/>
        <v>43.033333333333324</v>
      </c>
    </row>
    <row r="40" spans="1:6">
      <c r="A40" s="225" t="s">
        <v>446</v>
      </c>
      <c r="B40" s="248" t="s">
        <v>21</v>
      </c>
      <c r="C40" s="77" t="s">
        <v>88</v>
      </c>
      <c r="D40" s="249">
        <f>2/4*$D$8/100</f>
        <v>0.25</v>
      </c>
      <c r="E40" s="63">
        <v>83.69</v>
      </c>
      <c r="F40" s="247">
        <f t="shared" si="1"/>
        <v>20.922499999999999</v>
      </c>
    </row>
    <row r="41" spans="1:6">
      <c r="A41" s="225" t="s">
        <v>447</v>
      </c>
      <c r="B41" s="248" t="s">
        <v>329</v>
      </c>
      <c r="C41" s="77" t="s">
        <v>88</v>
      </c>
      <c r="D41" s="249">
        <f>(1/10*$D$7)/100</f>
        <v>0.05</v>
      </c>
      <c r="E41" s="63">
        <v>87.36</v>
      </c>
      <c r="F41" s="247">
        <f t="shared" si="1"/>
        <v>4.3680000000000003</v>
      </c>
    </row>
    <row r="42" spans="1:6">
      <c r="A42" s="225" t="s">
        <v>534</v>
      </c>
      <c r="B42" s="248" t="s">
        <v>328</v>
      </c>
      <c r="C42" s="77" t="s">
        <v>88</v>
      </c>
      <c r="D42" s="249">
        <f>(1/4*$D$8)/100</f>
        <v>0.125</v>
      </c>
      <c r="E42" s="63">
        <v>211.61</v>
      </c>
      <c r="F42" s="247">
        <f t="shared" si="1"/>
        <v>26.451250000000002</v>
      </c>
    </row>
    <row r="43" spans="1:6" ht="14.25">
      <c r="A43" s="245" t="s">
        <v>448</v>
      </c>
      <c r="B43" s="94" t="s">
        <v>14</v>
      </c>
      <c r="C43" s="167"/>
      <c r="D43" s="250"/>
      <c r="E43" s="63"/>
      <c r="F43" s="246">
        <f>F44+F45+F46</f>
        <v>204.30250000000001</v>
      </c>
    </row>
    <row r="44" spans="1:6">
      <c r="A44" s="225" t="s">
        <v>449</v>
      </c>
      <c r="B44" s="248" t="s">
        <v>27</v>
      </c>
      <c r="C44" s="77" t="s">
        <v>88</v>
      </c>
      <c r="D44" s="249">
        <f>7/1*$D$7/100</f>
        <v>3.5</v>
      </c>
      <c r="E44" s="63">
        <v>29.34</v>
      </c>
      <c r="F44" s="247">
        <f>E44*D44</f>
        <v>102.69</v>
      </c>
    </row>
    <row r="45" spans="1:6">
      <c r="A45" s="225" t="s">
        <v>450</v>
      </c>
      <c r="B45" s="248" t="s">
        <v>25</v>
      </c>
      <c r="C45" s="77" t="s">
        <v>88</v>
      </c>
      <c r="D45" s="249">
        <f>6/2*$D$8/100</f>
        <v>1.5</v>
      </c>
      <c r="E45" s="63">
        <v>59.2</v>
      </c>
      <c r="F45" s="247">
        <f>E45*D45</f>
        <v>88.800000000000011</v>
      </c>
    </row>
    <row r="46" spans="1:6">
      <c r="A46" s="225" t="s">
        <v>451</v>
      </c>
      <c r="B46" s="248" t="s">
        <v>227</v>
      </c>
      <c r="C46" s="77" t="s">
        <v>88</v>
      </c>
      <c r="D46" s="249">
        <f>1/4*$D$8/100</f>
        <v>0.125</v>
      </c>
      <c r="E46" s="63">
        <v>102.5</v>
      </c>
      <c r="F46" s="247">
        <f>E46*D46</f>
        <v>12.8125</v>
      </c>
    </row>
    <row r="47" spans="1:6" ht="14.25">
      <c r="A47" s="245" t="s">
        <v>455</v>
      </c>
      <c r="B47" s="94" t="s">
        <v>15</v>
      </c>
      <c r="C47" s="167"/>
      <c r="D47" s="250"/>
      <c r="E47" s="63"/>
      <c r="F47" s="246">
        <f>F48+F49+F51</f>
        <v>59.36333333333333</v>
      </c>
    </row>
    <row r="48" spans="1:6">
      <c r="A48" s="225" t="s">
        <v>516</v>
      </c>
      <c r="B48" s="248" t="s">
        <v>339</v>
      </c>
      <c r="C48" s="77" t="s">
        <v>88</v>
      </c>
      <c r="D48" s="249">
        <f>1/6*$D$7/100</f>
        <v>8.3333333333333315E-2</v>
      </c>
      <c r="E48" s="63">
        <v>130.22999999999999</v>
      </c>
      <c r="F48" s="247">
        <f>E48*D48</f>
        <v>10.852499999999997</v>
      </c>
    </row>
    <row r="49" spans="1:6">
      <c r="A49" s="225" t="s">
        <v>517</v>
      </c>
      <c r="B49" s="248" t="s">
        <v>210</v>
      </c>
      <c r="C49" s="77" t="s">
        <v>211</v>
      </c>
      <c r="D49" s="249">
        <f>(1/6*$D$7+1/4*$D$8)/100</f>
        <v>0.20833333333333331</v>
      </c>
      <c r="E49" s="63">
        <v>205.93</v>
      </c>
      <c r="F49" s="247">
        <f>E49*D49</f>
        <v>42.90208333333333</v>
      </c>
    </row>
    <row r="50" spans="1:6">
      <c r="A50" s="225"/>
      <c r="B50" s="248" t="s">
        <v>264</v>
      </c>
      <c r="C50" s="77"/>
      <c r="D50" s="249"/>
      <c r="E50" s="63"/>
      <c r="F50" s="247"/>
    </row>
    <row r="51" spans="1:6">
      <c r="A51" s="225" t="s">
        <v>518</v>
      </c>
      <c r="B51" s="248" t="s">
        <v>228</v>
      </c>
      <c r="C51" s="77" t="s">
        <v>88</v>
      </c>
      <c r="D51" s="249">
        <f>1/4*$D$8/100</f>
        <v>0.125</v>
      </c>
      <c r="E51" s="63">
        <v>44.87</v>
      </c>
      <c r="F51" s="247">
        <f>E51*D51</f>
        <v>5.6087499999999997</v>
      </c>
    </row>
    <row r="52" spans="1:6" ht="14.25">
      <c r="A52" s="245" t="s">
        <v>456</v>
      </c>
      <c r="B52" s="94" t="s">
        <v>16</v>
      </c>
      <c r="C52" s="167"/>
      <c r="D52" s="250"/>
      <c r="E52" s="63"/>
      <c r="F52" s="246">
        <f>F53+F55+F56+F57</f>
        <v>85.839866666666666</v>
      </c>
    </row>
    <row r="53" spans="1:6">
      <c r="A53" s="225" t="s">
        <v>457</v>
      </c>
      <c r="B53" s="248" t="s">
        <v>364</v>
      </c>
      <c r="C53" s="77" t="s">
        <v>88</v>
      </c>
      <c r="D53" s="249">
        <f>(1/3*$D$7+2/3*$D$8)/100</f>
        <v>0.49999999999999994</v>
      </c>
      <c r="E53" s="63">
        <v>52</v>
      </c>
      <c r="F53" s="247">
        <f>E53*D53</f>
        <v>25.999999999999996</v>
      </c>
    </row>
    <row r="54" spans="1:6">
      <c r="A54" s="225"/>
      <c r="B54" s="248" t="s">
        <v>212</v>
      </c>
      <c r="C54" s="77"/>
      <c r="D54" s="249"/>
      <c r="E54" s="63"/>
      <c r="F54" s="247"/>
    </row>
    <row r="55" spans="1:6">
      <c r="A55" s="225" t="s">
        <v>458</v>
      </c>
      <c r="B55" s="248" t="s">
        <v>231</v>
      </c>
      <c r="C55" s="77" t="s">
        <v>88</v>
      </c>
      <c r="D55" s="249">
        <f>1/10*$D$7/100</f>
        <v>0.05</v>
      </c>
      <c r="E55" s="63">
        <v>78.38</v>
      </c>
      <c r="F55" s="247">
        <f>E55*D55</f>
        <v>3.919</v>
      </c>
    </row>
    <row r="56" spans="1:6">
      <c r="A56" s="225" t="s">
        <v>459</v>
      </c>
      <c r="B56" s="248" t="s">
        <v>232</v>
      </c>
      <c r="C56" s="77" t="s">
        <v>88</v>
      </c>
      <c r="D56" s="249">
        <f>1/6*$D$7/100</f>
        <v>8.3333333333333315E-2</v>
      </c>
      <c r="E56" s="63">
        <v>433.34</v>
      </c>
      <c r="F56" s="247">
        <f>E56*D56</f>
        <v>36.111666666666657</v>
      </c>
    </row>
    <row r="57" spans="1:6">
      <c r="A57" s="225" t="s">
        <v>460</v>
      </c>
      <c r="B57" s="248" t="s">
        <v>592</v>
      </c>
      <c r="C57" s="77"/>
      <c r="D57" s="249"/>
      <c r="E57" s="63"/>
      <c r="F57" s="247">
        <f>(F53+F55+F56)*0.3</f>
        <v>19.809199999999997</v>
      </c>
    </row>
    <row r="58" spans="1:6" ht="14.25">
      <c r="A58" s="245" t="s">
        <v>461</v>
      </c>
      <c r="B58" s="94" t="s">
        <v>17</v>
      </c>
      <c r="C58" s="167"/>
      <c r="D58" s="250"/>
      <c r="E58" s="63"/>
      <c r="F58" s="246">
        <f>F59+F60</f>
        <v>127.30799999999999</v>
      </c>
    </row>
    <row r="59" spans="1:6">
      <c r="A59" s="225" t="s">
        <v>462</v>
      </c>
      <c r="B59" s="248" t="s">
        <v>608</v>
      </c>
      <c r="C59" s="77" t="s">
        <v>335</v>
      </c>
      <c r="D59" s="249">
        <f>1/5*$D$7/100</f>
        <v>0.1</v>
      </c>
      <c r="E59" s="63">
        <v>643.66</v>
      </c>
      <c r="F59" s="247">
        <f>E59*D59</f>
        <v>64.366</v>
      </c>
    </row>
    <row r="60" spans="1:6">
      <c r="A60" s="225" t="s">
        <v>463</v>
      </c>
      <c r="B60" s="248" t="s">
        <v>593</v>
      </c>
      <c r="C60" s="77" t="s">
        <v>335</v>
      </c>
      <c r="D60" s="249">
        <f>1/5*$D$8/100</f>
        <v>0.1</v>
      </c>
      <c r="E60" s="63">
        <v>629.41999999999996</v>
      </c>
      <c r="F60" s="247">
        <f>E60*D60</f>
        <v>62.942</v>
      </c>
    </row>
    <row r="61" spans="1:6" ht="14.25">
      <c r="A61" s="245" t="s">
        <v>468</v>
      </c>
      <c r="B61" s="94" t="s">
        <v>18</v>
      </c>
      <c r="C61" s="77"/>
      <c r="D61" s="250"/>
      <c r="E61" s="63"/>
      <c r="F61" s="246">
        <f>F62+F63</f>
        <v>192.14500000000001</v>
      </c>
    </row>
    <row r="62" spans="1:6">
      <c r="A62" s="225" t="s">
        <v>489</v>
      </c>
      <c r="B62" s="248" t="s">
        <v>213</v>
      </c>
      <c r="C62" s="77" t="s">
        <v>335</v>
      </c>
      <c r="D62" s="249">
        <f>2/5*$D$7/100</f>
        <v>0.2</v>
      </c>
      <c r="E62" s="63">
        <v>501.3</v>
      </c>
      <c r="F62" s="247">
        <f>E62*D62</f>
        <v>100.26</v>
      </c>
    </row>
    <row r="63" spans="1:6">
      <c r="A63" s="225" t="s">
        <v>490</v>
      </c>
      <c r="B63" s="248" t="s">
        <v>594</v>
      </c>
      <c r="C63" s="77" t="s">
        <v>335</v>
      </c>
      <c r="D63" s="249">
        <f>1/2*$D$8/100</f>
        <v>0.25</v>
      </c>
      <c r="E63" s="63">
        <v>367.54</v>
      </c>
      <c r="F63" s="247">
        <f>E63*D63</f>
        <v>91.885000000000005</v>
      </c>
    </row>
    <row r="64" spans="1:6" ht="14.25">
      <c r="A64" s="245" t="s">
        <v>469</v>
      </c>
      <c r="B64" s="94" t="s">
        <v>647</v>
      </c>
      <c r="C64" s="77"/>
      <c r="D64" s="250"/>
      <c r="E64" s="63"/>
      <c r="F64" s="246">
        <f>F65+F66+F67+F68+F69+F70</f>
        <v>331.14466666666658</v>
      </c>
    </row>
    <row r="65" spans="1:6">
      <c r="A65" s="225" t="s">
        <v>470</v>
      </c>
      <c r="B65" s="248" t="s">
        <v>28</v>
      </c>
      <c r="C65" s="77" t="s">
        <v>335</v>
      </c>
      <c r="D65" s="249">
        <f>1/3*$D$7/100</f>
        <v>0.16666666666666663</v>
      </c>
      <c r="E65" s="63">
        <v>407.87</v>
      </c>
      <c r="F65" s="247">
        <f t="shared" ref="F65:F71" si="2">E65*D65</f>
        <v>67.978333333333325</v>
      </c>
    </row>
    <row r="66" spans="1:6">
      <c r="A66" s="225" t="s">
        <v>471</v>
      </c>
      <c r="B66" s="248" t="s">
        <v>343</v>
      </c>
      <c r="C66" s="77" t="s">
        <v>335</v>
      </c>
      <c r="D66" s="249">
        <f>2/5*$D$7/100</f>
        <v>0.2</v>
      </c>
      <c r="E66" s="63">
        <v>403.69</v>
      </c>
      <c r="F66" s="247">
        <f t="shared" si="2"/>
        <v>80.738</v>
      </c>
    </row>
    <row r="67" spans="1:6">
      <c r="A67" s="225" t="s">
        <v>492</v>
      </c>
      <c r="B67" s="248" t="s">
        <v>595</v>
      </c>
      <c r="C67" s="77" t="s">
        <v>335</v>
      </c>
      <c r="D67" s="249">
        <f>1/1.5*$D$8/100</f>
        <v>0.33333333333333326</v>
      </c>
      <c r="E67" s="63">
        <v>290.14</v>
      </c>
      <c r="F67" s="247">
        <f t="shared" si="2"/>
        <v>96.71333333333331</v>
      </c>
    </row>
    <row r="68" spans="1:6">
      <c r="A68" s="225" t="s">
        <v>493</v>
      </c>
      <c r="B68" s="248" t="s">
        <v>596</v>
      </c>
      <c r="C68" s="77" t="s">
        <v>335</v>
      </c>
      <c r="D68" s="249">
        <f>1/3*$D$8/100</f>
        <v>0.16666666666666663</v>
      </c>
      <c r="E68" s="63">
        <v>203.65</v>
      </c>
      <c r="F68" s="247">
        <f t="shared" si="2"/>
        <v>33.941666666666663</v>
      </c>
    </row>
    <row r="69" spans="1:6">
      <c r="A69" s="225" t="s">
        <v>494</v>
      </c>
      <c r="B69" s="248" t="s">
        <v>656</v>
      </c>
      <c r="C69" s="77" t="s">
        <v>335</v>
      </c>
      <c r="D69" s="249">
        <f>1/3*$D$7/100</f>
        <v>0.16666666666666663</v>
      </c>
      <c r="E69" s="137">
        <v>159.30000000000001</v>
      </c>
      <c r="F69" s="247">
        <f t="shared" si="2"/>
        <v>26.549999999999997</v>
      </c>
    </row>
    <row r="70" spans="1:6">
      <c r="A70" s="225" t="s">
        <v>495</v>
      </c>
      <c r="B70" s="248" t="s">
        <v>655</v>
      </c>
      <c r="C70" s="77" t="s">
        <v>335</v>
      </c>
      <c r="D70" s="249">
        <f>1/3*$D$8/100</f>
        <v>0.16666666666666663</v>
      </c>
      <c r="E70" s="137">
        <v>151.34</v>
      </c>
      <c r="F70" s="247">
        <f t="shared" si="2"/>
        <v>25.223333333333329</v>
      </c>
    </row>
    <row r="71" spans="1:6" ht="14.25">
      <c r="A71" s="225" t="s">
        <v>473</v>
      </c>
      <c r="B71" s="94" t="s">
        <v>256</v>
      </c>
      <c r="C71" s="77" t="s">
        <v>335</v>
      </c>
      <c r="D71" s="249">
        <f>(1/7*$D$7+1/3*$D$8)/100</f>
        <v>0.23809523809523805</v>
      </c>
      <c r="E71" s="63">
        <v>184.09</v>
      </c>
      <c r="F71" s="246">
        <f t="shared" si="2"/>
        <v>43.830952380952375</v>
      </c>
    </row>
    <row r="72" spans="1:6">
      <c r="A72" s="225"/>
      <c r="B72" s="248"/>
      <c r="C72" s="77"/>
      <c r="D72" s="249"/>
      <c r="E72" s="63"/>
      <c r="F72" s="246"/>
    </row>
    <row r="73" spans="1:6" ht="15">
      <c r="A73" s="251"/>
      <c r="B73" s="218" t="s">
        <v>299</v>
      </c>
      <c r="C73" s="204"/>
      <c r="D73" s="241"/>
      <c r="E73" s="241"/>
      <c r="F73" s="336">
        <f>загальнос!$F$82</f>
        <v>2464.5653576904142</v>
      </c>
    </row>
    <row r="74" spans="1:6" ht="15">
      <c r="A74" s="97" t="s">
        <v>374</v>
      </c>
      <c r="B74" s="252"/>
      <c r="C74" s="162"/>
      <c r="D74" s="61"/>
      <c r="E74" s="61"/>
      <c r="F74" s="173">
        <f>F10+F73</f>
        <v>5291.4593314999383</v>
      </c>
    </row>
    <row r="75" spans="1:6" ht="15">
      <c r="A75" s="253" t="s">
        <v>375</v>
      </c>
      <c r="B75" s="254"/>
      <c r="C75" s="209"/>
      <c r="D75" s="255"/>
      <c r="E75" s="255"/>
      <c r="F75" s="175">
        <f>F74/12</f>
        <v>440.95494429166155</v>
      </c>
    </row>
    <row r="76" spans="1:6">
      <c r="D76" s="3"/>
      <c r="E76" s="3"/>
      <c r="F76" s="3"/>
    </row>
  </sheetData>
  <mergeCells count="2">
    <mergeCell ref="A1:F1"/>
    <mergeCell ref="A2:F2"/>
  </mergeCells>
  <phoneticPr fontId="30" type="noConversion"/>
  <pageMargins left="0.75" right="0.28000000000000003" top="0.89" bottom="0.75" header="0.57999999999999996" footer="0.5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74"/>
  <sheetViews>
    <sheetView topLeftCell="A28" zoomScale="75" workbookViewId="0">
      <selection activeCell="F72" sqref="F72:F74"/>
    </sheetView>
  </sheetViews>
  <sheetFormatPr defaultRowHeight="15"/>
  <cols>
    <col min="1" max="1" width="6.28515625" style="24" customWidth="1"/>
    <col min="2" max="2" width="32.7109375" customWidth="1"/>
    <col min="4" max="4" width="18.85546875" customWidth="1"/>
    <col min="5" max="5" width="11.140625" style="19" customWidth="1"/>
    <col min="6" max="6" width="11.42578125" customWidth="1"/>
    <col min="7" max="7" width="8.7109375" style="18" customWidth="1"/>
  </cols>
  <sheetData>
    <row r="3" spans="1:7" ht="15.75">
      <c r="A3" s="414" t="s">
        <v>420</v>
      </c>
      <c r="B3" s="414"/>
      <c r="C3" s="414"/>
      <c r="D3" s="414"/>
      <c r="E3" s="414"/>
      <c r="F3" s="414"/>
    </row>
    <row r="4" spans="1:7" ht="19.5" customHeight="1">
      <c r="A4" s="415" t="s">
        <v>322</v>
      </c>
      <c r="B4" s="415"/>
      <c r="C4" s="415"/>
      <c r="D4" s="415"/>
      <c r="E4" s="415"/>
      <c r="F4" s="415"/>
    </row>
    <row r="5" spans="1:7">
      <c r="A5" s="50" t="s">
        <v>42</v>
      </c>
      <c r="B5" s="36" t="s">
        <v>305</v>
      </c>
      <c r="C5" s="47" t="s">
        <v>92</v>
      </c>
      <c r="D5" s="54" t="s">
        <v>97</v>
      </c>
      <c r="E5" s="56" t="s">
        <v>94</v>
      </c>
      <c r="F5" s="47" t="s">
        <v>107</v>
      </c>
      <c r="G5" s="18" t="s">
        <v>630</v>
      </c>
    </row>
    <row r="6" spans="1:7">
      <c r="A6" s="50" t="s">
        <v>373</v>
      </c>
      <c r="B6" s="33" t="s">
        <v>306</v>
      </c>
      <c r="C6" s="47" t="s">
        <v>81</v>
      </c>
      <c r="D6" s="54" t="s">
        <v>98</v>
      </c>
      <c r="E6" s="54" t="s">
        <v>95</v>
      </c>
      <c r="F6" s="47" t="s">
        <v>105</v>
      </c>
      <c r="G6" s="18">
        <v>1</v>
      </c>
    </row>
    <row r="7" spans="1:7">
      <c r="A7" s="50"/>
      <c r="B7" s="53" t="s">
        <v>307</v>
      </c>
      <c r="C7" s="47"/>
      <c r="D7" s="54" t="s">
        <v>100</v>
      </c>
      <c r="E7" s="54" t="s">
        <v>671</v>
      </c>
      <c r="F7" s="49"/>
    </row>
    <row r="8" spans="1:7">
      <c r="A8" s="50"/>
      <c r="B8" s="55"/>
      <c r="C8" s="54"/>
      <c r="D8" s="54" t="s">
        <v>101</v>
      </c>
      <c r="E8" s="54" t="s">
        <v>669</v>
      </c>
      <c r="F8" s="49"/>
    </row>
    <row r="9" spans="1:7">
      <c r="A9" s="50"/>
      <c r="B9" s="33"/>
      <c r="C9" s="54"/>
      <c r="D9" s="228">
        <v>33.200000000000003</v>
      </c>
      <c r="E9" s="47"/>
      <c r="F9" s="49"/>
    </row>
    <row r="10" spans="1:7">
      <c r="A10" s="103"/>
      <c r="B10" s="104"/>
      <c r="C10" s="105"/>
      <c r="D10" s="231">
        <v>66.8</v>
      </c>
      <c r="E10" s="278" t="s">
        <v>660</v>
      </c>
      <c r="F10" s="124" t="s">
        <v>660</v>
      </c>
    </row>
    <row r="11" spans="1:7">
      <c r="A11" s="58"/>
      <c r="B11" s="94" t="s">
        <v>127</v>
      </c>
      <c r="C11" s="77"/>
      <c r="D11" s="48"/>
      <c r="E11" s="243"/>
      <c r="F11" s="128"/>
    </row>
    <row r="12" spans="1:7">
      <c r="A12" s="50"/>
      <c r="B12" s="69" t="s">
        <v>128</v>
      </c>
      <c r="C12" s="47"/>
      <c r="D12" s="48"/>
      <c r="E12" s="243"/>
      <c r="F12" s="128">
        <f>F14+F17+F21+F36+F43+F47+F53+F59+F62+F65+F71</f>
        <v>2029.8763106095237</v>
      </c>
    </row>
    <row r="13" spans="1:7">
      <c r="A13" s="50"/>
      <c r="B13" s="36"/>
      <c r="C13" s="47"/>
      <c r="D13" s="48"/>
      <c r="E13" s="243"/>
      <c r="F13" s="128"/>
    </row>
    <row r="14" spans="1:7">
      <c r="A14" s="58">
        <v>1</v>
      </c>
      <c r="B14" s="94" t="s">
        <v>10</v>
      </c>
      <c r="C14" s="167"/>
      <c r="D14" s="256"/>
      <c r="E14" s="257"/>
      <c r="F14" s="128">
        <f>F15+F16</f>
        <v>143.85203999999999</v>
      </c>
    </row>
    <row r="15" spans="1:7">
      <c r="A15" s="50" t="s">
        <v>427</v>
      </c>
      <c r="B15" s="248" t="s">
        <v>297</v>
      </c>
      <c r="C15" s="77" t="s">
        <v>88</v>
      </c>
      <c r="D15" s="237">
        <f>1/5*$D$9/100</f>
        <v>6.6400000000000001E-2</v>
      </c>
      <c r="E15" s="63">
        <v>962.98</v>
      </c>
      <c r="F15" s="63">
        <f>E15*D15</f>
        <v>63.941872000000004</v>
      </c>
    </row>
    <row r="16" spans="1:7">
      <c r="A16" s="50" t="s">
        <v>428</v>
      </c>
      <c r="B16" s="248" t="s">
        <v>597</v>
      </c>
      <c r="C16" s="77" t="s">
        <v>88</v>
      </c>
      <c r="D16" s="237">
        <f>1/10*$D$10/100</f>
        <v>6.6799999999999998E-2</v>
      </c>
      <c r="E16" s="63">
        <v>1196.26</v>
      </c>
      <c r="F16" s="63">
        <f>E16*D16</f>
        <v>79.910167999999999</v>
      </c>
    </row>
    <row r="17" spans="1:6">
      <c r="A17" s="58" t="s">
        <v>438</v>
      </c>
      <c r="B17" s="94" t="s">
        <v>581</v>
      </c>
      <c r="C17" s="167"/>
      <c r="D17" s="256"/>
      <c r="E17" s="63"/>
      <c r="F17" s="128">
        <f>SUM(F18:F20)</f>
        <v>302.08654999999993</v>
      </c>
    </row>
    <row r="18" spans="1:6">
      <c r="A18" s="50" t="s">
        <v>497</v>
      </c>
      <c r="B18" s="248" t="s">
        <v>590</v>
      </c>
      <c r="C18" s="77" t="s">
        <v>88</v>
      </c>
      <c r="D18" s="237">
        <f>1/8*$D$10/100</f>
        <v>8.3499999999999991E-2</v>
      </c>
      <c r="E18" s="63">
        <v>2555.4699999999998</v>
      </c>
      <c r="F18" s="63">
        <f>E18*D18</f>
        <v>213.38174499999997</v>
      </c>
    </row>
    <row r="19" spans="1:6">
      <c r="A19" s="50" t="s">
        <v>498</v>
      </c>
      <c r="B19" s="248" t="s">
        <v>71</v>
      </c>
      <c r="C19" s="77" t="s">
        <v>88</v>
      </c>
      <c r="D19" s="237">
        <f>1/8*$D$9/100</f>
        <v>4.1500000000000002E-2</v>
      </c>
      <c r="E19" s="63">
        <v>797.26</v>
      </c>
      <c r="F19" s="63">
        <f>E19*D19</f>
        <v>33.086289999999998</v>
      </c>
    </row>
    <row r="20" spans="1:6">
      <c r="A20" s="50" t="s">
        <v>499</v>
      </c>
      <c r="B20" s="248" t="s">
        <v>72</v>
      </c>
      <c r="C20" s="77" t="s">
        <v>88</v>
      </c>
      <c r="D20" s="237">
        <f>1/8*$D$10/100</f>
        <v>8.3499999999999991E-2</v>
      </c>
      <c r="E20" s="63">
        <v>666.09</v>
      </c>
      <c r="F20" s="63">
        <f>E20*D20</f>
        <v>55.618514999999995</v>
      </c>
    </row>
    <row r="21" spans="1:6">
      <c r="A21" s="58" t="s">
        <v>439</v>
      </c>
      <c r="B21" s="94" t="s">
        <v>20</v>
      </c>
      <c r="C21" s="167"/>
      <c r="D21" s="256"/>
      <c r="E21" s="63"/>
      <c r="F21" s="128">
        <f>F22+F23+F24+F25+F27+F28+F29+F30+F31+F32+F33+F34+F35</f>
        <v>625.93699400000003</v>
      </c>
    </row>
    <row r="22" spans="1:6">
      <c r="A22" s="50" t="s">
        <v>481</v>
      </c>
      <c r="B22" s="248" t="s">
        <v>225</v>
      </c>
      <c r="C22" s="77" t="s">
        <v>88</v>
      </c>
      <c r="D22" s="237">
        <f>1/7*$D$9/100</f>
        <v>4.7428571428571431E-2</v>
      </c>
      <c r="E22" s="63">
        <v>1274.49</v>
      </c>
      <c r="F22" s="63">
        <f>E22*D22</f>
        <v>60.447240000000001</v>
      </c>
    </row>
    <row r="23" spans="1:6">
      <c r="A23" s="50" t="s">
        <v>482</v>
      </c>
      <c r="B23" s="248" t="s">
        <v>609</v>
      </c>
      <c r="C23" s="77" t="s">
        <v>88</v>
      </c>
      <c r="D23" s="237">
        <f>3/5*$D$9/100</f>
        <v>0.19920000000000002</v>
      </c>
      <c r="E23" s="63">
        <v>228.34</v>
      </c>
      <c r="F23" s="63">
        <f>E23*D23</f>
        <v>45.485328000000003</v>
      </c>
    </row>
    <row r="24" spans="1:6">
      <c r="A24" s="50" t="s">
        <v>483</v>
      </c>
      <c r="B24" s="248" t="s">
        <v>73</v>
      </c>
      <c r="C24" s="77" t="s">
        <v>88</v>
      </c>
      <c r="D24" s="237">
        <f>1/5*$D$9/100</f>
        <v>6.6400000000000001E-2</v>
      </c>
      <c r="E24" s="63">
        <v>343.53</v>
      </c>
      <c r="F24" s="63">
        <f>E24*D24</f>
        <v>22.810391999999997</v>
      </c>
    </row>
    <row r="25" spans="1:6">
      <c r="A25" s="50" t="s">
        <v>484</v>
      </c>
      <c r="B25" s="248" t="s">
        <v>336</v>
      </c>
      <c r="C25" s="77" t="s">
        <v>88</v>
      </c>
      <c r="D25" s="237">
        <f>1/5*$D$9/100</f>
        <v>6.6400000000000001E-2</v>
      </c>
      <c r="E25" s="63">
        <v>904.93</v>
      </c>
      <c r="F25" s="63">
        <f>E25*D25</f>
        <v>60.087351999999996</v>
      </c>
    </row>
    <row r="26" spans="1:6">
      <c r="A26" s="50"/>
      <c r="B26" s="248" t="s">
        <v>337</v>
      </c>
      <c r="C26" s="77"/>
      <c r="D26" s="237"/>
      <c r="E26" s="63"/>
      <c r="F26" s="63"/>
    </row>
    <row r="27" spans="1:6">
      <c r="A27" s="50" t="s">
        <v>485</v>
      </c>
      <c r="B27" s="248" t="s">
        <v>652</v>
      </c>
      <c r="C27" s="77" t="s">
        <v>88</v>
      </c>
      <c r="D27" s="237">
        <f>1/6*$D$9/100</f>
        <v>5.5333333333333332E-2</v>
      </c>
      <c r="E27" s="63">
        <v>315.83999999999997</v>
      </c>
      <c r="F27" s="63">
        <f t="shared" ref="F27:F33" si="0">E27*D27</f>
        <v>17.476479999999999</v>
      </c>
    </row>
    <row r="28" spans="1:6">
      <c r="A28" s="50" t="s">
        <v>486</v>
      </c>
      <c r="B28" s="248" t="s">
        <v>649</v>
      </c>
      <c r="C28" s="77" t="s">
        <v>88</v>
      </c>
      <c r="D28" s="237">
        <f>1/6*$D$10/100</f>
        <v>0.11133333333333333</v>
      </c>
      <c r="E28" s="63">
        <v>291.42</v>
      </c>
      <c r="F28" s="63">
        <f t="shared" si="0"/>
        <v>32.444760000000002</v>
      </c>
    </row>
    <row r="29" spans="1:6">
      <c r="A29" s="50" t="s">
        <v>503</v>
      </c>
      <c r="B29" s="248" t="s">
        <v>74</v>
      </c>
      <c r="C29" s="77" t="s">
        <v>88</v>
      </c>
      <c r="D29" s="237">
        <f>1/6*$D$10/100</f>
        <v>0.11133333333333333</v>
      </c>
      <c r="E29" s="63">
        <v>457.69</v>
      </c>
      <c r="F29" s="63">
        <f t="shared" si="0"/>
        <v>50.956153333333333</v>
      </c>
    </row>
    <row r="30" spans="1:6">
      <c r="A30" s="50" t="s">
        <v>504</v>
      </c>
      <c r="B30" s="248" t="s">
        <v>75</v>
      </c>
      <c r="C30" s="77" t="s">
        <v>88</v>
      </c>
      <c r="D30" s="237">
        <f>1/2*$D$10/100</f>
        <v>0.33399999999999996</v>
      </c>
      <c r="E30" s="63">
        <v>204.16</v>
      </c>
      <c r="F30" s="63">
        <f t="shared" si="0"/>
        <v>68.189439999999991</v>
      </c>
    </row>
    <row r="31" spans="1:6">
      <c r="A31" s="50" t="s">
        <v>531</v>
      </c>
      <c r="B31" s="248" t="s">
        <v>76</v>
      </c>
      <c r="C31" s="77" t="s">
        <v>88</v>
      </c>
      <c r="D31" s="237">
        <f>2/5*$D$10/100</f>
        <v>0.26719999999999999</v>
      </c>
      <c r="E31" s="63">
        <v>204.16</v>
      </c>
      <c r="F31" s="63">
        <f t="shared" si="0"/>
        <v>54.551552000000001</v>
      </c>
    </row>
    <row r="32" spans="1:6">
      <c r="A32" s="50" t="s">
        <v>532</v>
      </c>
      <c r="B32" s="248" t="s">
        <v>341</v>
      </c>
      <c r="C32" s="77" t="s">
        <v>88</v>
      </c>
      <c r="D32" s="237">
        <f>2/6*$D$10/100</f>
        <v>0.22266666666666665</v>
      </c>
      <c r="E32" s="63">
        <v>255.17</v>
      </c>
      <c r="F32" s="63">
        <f t="shared" si="0"/>
        <v>56.817853333333325</v>
      </c>
    </row>
    <row r="33" spans="1:6">
      <c r="A33" s="50" t="s">
        <v>533</v>
      </c>
      <c r="B33" s="248" t="s">
        <v>296</v>
      </c>
      <c r="C33" s="77" t="s">
        <v>88</v>
      </c>
      <c r="D33" s="237">
        <f>1/6*$D$10/100</f>
        <v>0.11133333333333333</v>
      </c>
      <c r="E33" s="63">
        <v>311.26</v>
      </c>
      <c r="F33" s="63">
        <f t="shared" si="0"/>
        <v>34.653613333333332</v>
      </c>
    </row>
    <row r="34" spans="1:6">
      <c r="A34" s="50" t="s">
        <v>651</v>
      </c>
      <c r="B34" s="248" t="s">
        <v>654</v>
      </c>
      <c r="C34" s="77" t="s">
        <v>88</v>
      </c>
      <c r="D34" s="237">
        <f>1/4*$D$9/100</f>
        <v>8.3000000000000004E-2</v>
      </c>
      <c r="E34" s="137">
        <v>499.43</v>
      </c>
      <c r="F34" s="137">
        <f>E34*D34</f>
        <v>41.452690000000004</v>
      </c>
    </row>
    <row r="35" spans="1:6">
      <c r="A35" s="50" t="s">
        <v>650</v>
      </c>
      <c r="B35" s="248" t="s">
        <v>658</v>
      </c>
      <c r="C35" s="77" t="s">
        <v>88</v>
      </c>
      <c r="D35" s="237">
        <f>1/4*$D$10/100</f>
        <v>0.16699999999999998</v>
      </c>
      <c r="E35" s="137">
        <v>482.42</v>
      </c>
      <c r="F35" s="137">
        <f>E35*D35</f>
        <v>80.564139999999995</v>
      </c>
    </row>
    <row r="36" spans="1:6">
      <c r="A36" s="58" t="s">
        <v>440</v>
      </c>
      <c r="B36" s="94" t="s">
        <v>12</v>
      </c>
      <c r="C36" s="167"/>
      <c r="D36" s="256"/>
      <c r="E36" s="63"/>
      <c r="F36" s="128">
        <f>F37+F38+F39+F40+F41+F42</f>
        <v>239.78686666666667</v>
      </c>
    </row>
    <row r="37" spans="1:6">
      <c r="A37" s="50" t="s">
        <v>441</v>
      </c>
      <c r="B37" s="248" t="s">
        <v>77</v>
      </c>
      <c r="C37" s="77" t="s">
        <v>88</v>
      </c>
      <c r="D37" s="237">
        <f>4/2*$D$9/100</f>
        <v>0.66400000000000003</v>
      </c>
      <c r="E37" s="63">
        <v>46.86</v>
      </c>
      <c r="F37" s="63">
        <f t="shared" ref="F37:F42" si="1">E37*D37</f>
        <v>31.11504</v>
      </c>
    </row>
    <row r="38" spans="1:6">
      <c r="A38" s="50" t="s">
        <v>442</v>
      </c>
      <c r="B38" s="248" t="s">
        <v>591</v>
      </c>
      <c r="C38" s="77" t="s">
        <v>88</v>
      </c>
      <c r="D38" s="48">
        <f>2/1*$D$9/100</f>
        <v>0.66400000000000003</v>
      </c>
      <c r="E38" s="63">
        <v>61.85</v>
      </c>
      <c r="F38" s="63">
        <f t="shared" si="1"/>
        <v>41.068400000000004</v>
      </c>
    </row>
    <row r="39" spans="1:6">
      <c r="A39" s="50" t="s">
        <v>443</v>
      </c>
      <c r="B39" s="248" t="s">
        <v>78</v>
      </c>
      <c r="C39" s="77" t="s">
        <v>88</v>
      </c>
      <c r="D39" s="237">
        <f>5/3*$D$10/100</f>
        <v>1.1133333333333333</v>
      </c>
      <c r="E39" s="63">
        <v>38.17</v>
      </c>
      <c r="F39" s="63">
        <f t="shared" si="1"/>
        <v>42.495933333333333</v>
      </c>
    </row>
    <row r="40" spans="1:6">
      <c r="A40" s="50" t="s">
        <v>444</v>
      </c>
      <c r="B40" s="248" t="s">
        <v>22</v>
      </c>
      <c r="C40" s="77" t="s">
        <v>88</v>
      </c>
      <c r="D40" s="237">
        <f>2/4*$D$10/100</f>
        <v>0.33399999999999996</v>
      </c>
      <c r="E40" s="63">
        <v>118.75</v>
      </c>
      <c r="F40" s="63">
        <f t="shared" si="1"/>
        <v>39.662499999999994</v>
      </c>
    </row>
    <row r="41" spans="1:6">
      <c r="A41" s="50" t="s">
        <v>445</v>
      </c>
      <c r="B41" s="248" t="s">
        <v>30</v>
      </c>
      <c r="C41" s="77" t="s">
        <v>88</v>
      </c>
      <c r="D41" s="237">
        <f>2/3*$D$10/100</f>
        <v>0.4453333333333333</v>
      </c>
      <c r="E41" s="63">
        <v>129.1</v>
      </c>
      <c r="F41" s="63">
        <f t="shared" si="1"/>
        <v>57.492533333333327</v>
      </c>
    </row>
    <row r="42" spans="1:6">
      <c r="A42" s="50" t="s">
        <v>446</v>
      </c>
      <c r="B42" s="248" t="s">
        <v>21</v>
      </c>
      <c r="C42" s="77" t="s">
        <v>88</v>
      </c>
      <c r="D42" s="237">
        <f>2/4*$D$10/100</f>
        <v>0.33399999999999996</v>
      </c>
      <c r="E42" s="63">
        <v>83.69</v>
      </c>
      <c r="F42" s="63">
        <f t="shared" si="1"/>
        <v>27.952459999999995</v>
      </c>
    </row>
    <row r="43" spans="1:6">
      <c r="A43" s="58" t="s">
        <v>448</v>
      </c>
      <c r="B43" s="94" t="s">
        <v>14</v>
      </c>
      <c r="C43" s="167"/>
      <c r="D43" s="256"/>
      <c r="E43" s="63"/>
      <c r="F43" s="128">
        <f>F44+F45+F46</f>
        <v>126.26673333333332</v>
      </c>
    </row>
    <row r="44" spans="1:6">
      <c r="A44" s="50" t="s">
        <v>449</v>
      </c>
      <c r="B44" s="248" t="s">
        <v>27</v>
      </c>
      <c r="C44" s="77" t="s">
        <v>88</v>
      </c>
      <c r="D44" s="237">
        <f>5/2*$D$9/100</f>
        <v>0.83</v>
      </c>
      <c r="E44" s="63">
        <v>29.34</v>
      </c>
      <c r="F44" s="63">
        <f>E44*D44</f>
        <v>24.3522</v>
      </c>
    </row>
    <row r="45" spans="1:6">
      <c r="A45" s="50" t="s">
        <v>450</v>
      </c>
      <c r="B45" s="248" t="s">
        <v>25</v>
      </c>
      <c r="C45" s="77" t="s">
        <v>88</v>
      </c>
      <c r="D45" s="237">
        <f>4/2*$D$10/100</f>
        <v>1.3359999999999999</v>
      </c>
      <c r="E45" s="63">
        <v>59.2</v>
      </c>
      <c r="F45" s="63">
        <f>E45*D45</f>
        <v>79.091200000000001</v>
      </c>
    </row>
    <row r="46" spans="1:6">
      <c r="A46" s="50" t="s">
        <v>451</v>
      </c>
      <c r="B46" s="248" t="s">
        <v>227</v>
      </c>
      <c r="C46" s="77" t="s">
        <v>88</v>
      </c>
      <c r="D46" s="237">
        <f>1/3*$D$10/100</f>
        <v>0.22266666666666665</v>
      </c>
      <c r="E46" s="63">
        <v>102.5</v>
      </c>
      <c r="F46" s="63">
        <f>E46*D46</f>
        <v>22.823333333333331</v>
      </c>
    </row>
    <row r="47" spans="1:6">
      <c r="A47" s="58" t="s">
        <v>455</v>
      </c>
      <c r="B47" s="94" t="s">
        <v>15</v>
      </c>
      <c r="C47" s="167"/>
      <c r="D47" s="256"/>
      <c r="E47" s="63"/>
      <c r="F47" s="128">
        <f>F48+F49+F51+F52</f>
        <v>56.862174190476196</v>
      </c>
    </row>
    <row r="48" spans="1:6">
      <c r="A48" s="50" t="s">
        <v>516</v>
      </c>
      <c r="B48" s="248" t="s">
        <v>339</v>
      </c>
      <c r="C48" s="77" t="s">
        <v>88</v>
      </c>
      <c r="D48" s="237">
        <f>1/7*$D$9/100</f>
        <v>4.7428571428571431E-2</v>
      </c>
      <c r="E48" s="63">
        <v>130.22999999999999</v>
      </c>
      <c r="F48" s="63">
        <f>E48*D48</f>
        <v>6.1766228571428572</v>
      </c>
    </row>
    <row r="49" spans="1:7">
      <c r="A49" s="50" t="s">
        <v>517</v>
      </c>
      <c r="B49" s="248" t="s">
        <v>210</v>
      </c>
      <c r="C49" s="77" t="s">
        <v>211</v>
      </c>
      <c r="D49" s="237">
        <f>(1/6*$D$9+1/5*$D$10)/100</f>
        <v>0.18893333333333331</v>
      </c>
      <c r="E49" s="63">
        <v>205.93</v>
      </c>
      <c r="F49" s="63">
        <f>E49*D49</f>
        <v>38.907041333333332</v>
      </c>
    </row>
    <row r="50" spans="1:7">
      <c r="A50" s="50"/>
      <c r="B50" s="248" t="s">
        <v>212</v>
      </c>
      <c r="C50" s="77"/>
      <c r="D50" s="237"/>
      <c r="E50" s="63"/>
      <c r="F50" s="63"/>
    </row>
    <row r="51" spans="1:7">
      <c r="A51" s="50" t="s">
        <v>518</v>
      </c>
      <c r="B51" s="248" t="s">
        <v>228</v>
      </c>
      <c r="C51" s="77" t="s">
        <v>88</v>
      </c>
      <c r="D51" s="237">
        <f>1/4*$D$10/100</f>
        <v>0.16699999999999998</v>
      </c>
      <c r="E51" s="63">
        <v>44.87</v>
      </c>
      <c r="F51" s="63">
        <f>E51*D51</f>
        <v>7.4932899999999991</v>
      </c>
    </row>
    <row r="52" spans="1:7">
      <c r="A52" s="50" t="s">
        <v>519</v>
      </c>
      <c r="B52" s="248" t="s">
        <v>229</v>
      </c>
      <c r="C52" s="77" t="s">
        <v>88</v>
      </c>
      <c r="D52" s="237">
        <f>1/4*$D$10/100</f>
        <v>0.16699999999999998</v>
      </c>
      <c r="E52" s="63">
        <v>25.66</v>
      </c>
      <c r="F52" s="63">
        <f>E52*D52</f>
        <v>4.2852199999999998</v>
      </c>
    </row>
    <row r="53" spans="1:7">
      <c r="A53" s="58" t="s">
        <v>456</v>
      </c>
      <c r="B53" s="94" t="s">
        <v>16</v>
      </c>
      <c r="C53" s="167"/>
      <c r="D53" s="256"/>
      <c r="E53" s="63"/>
      <c r="F53" s="128">
        <f>F54+F56+F57+F58</f>
        <v>51.454471466666668</v>
      </c>
    </row>
    <row r="54" spans="1:7">
      <c r="A54" s="50" t="s">
        <v>457</v>
      </c>
      <c r="B54" s="248" t="s">
        <v>230</v>
      </c>
      <c r="C54" s="77" t="s">
        <v>88</v>
      </c>
      <c r="D54" s="237">
        <f>(1/4*$D$9+1/4*$D$10)/100</f>
        <v>0.25</v>
      </c>
      <c r="E54" s="63">
        <v>52</v>
      </c>
      <c r="F54" s="63">
        <f>E54*D54</f>
        <v>13</v>
      </c>
    </row>
    <row r="55" spans="1:7">
      <c r="A55" s="50"/>
      <c r="B55" s="248" t="s">
        <v>212</v>
      </c>
      <c r="C55" s="77"/>
      <c r="D55" s="237"/>
      <c r="E55" s="63"/>
      <c r="F55" s="63"/>
    </row>
    <row r="56" spans="1:7">
      <c r="A56" s="50" t="s">
        <v>458</v>
      </c>
      <c r="B56" s="248" t="s">
        <v>231</v>
      </c>
      <c r="C56" s="77" t="s">
        <v>88</v>
      </c>
      <c r="D56" s="237">
        <f>1/10*$D$9/100</f>
        <v>3.32E-2</v>
      </c>
      <c r="E56" s="63">
        <v>78.38</v>
      </c>
      <c r="F56" s="63">
        <f>E56*D56</f>
        <v>2.6022159999999999</v>
      </c>
    </row>
    <row r="57" spans="1:7">
      <c r="A57" s="50" t="s">
        <v>459</v>
      </c>
      <c r="B57" s="248" t="s">
        <v>232</v>
      </c>
      <c r="C57" s="77" t="s">
        <v>88</v>
      </c>
      <c r="D57" s="237">
        <f>1/6*$D$9/100</f>
        <v>5.5333333333333332E-2</v>
      </c>
      <c r="E57" s="63">
        <v>433.34</v>
      </c>
      <c r="F57" s="63">
        <f>E57*D57</f>
        <v>23.978146666666664</v>
      </c>
    </row>
    <row r="58" spans="1:7">
      <c r="A58" s="50" t="s">
        <v>460</v>
      </c>
      <c r="B58" s="248" t="s">
        <v>592</v>
      </c>
      <c r="C58" s="77"/>
      <c r="D58" s="237"/>
      <c r="E58" s="63"/>
      <c r="F58" s="63">
        <f>(F54+F56+F57)*0.3</f>
        <v>11.8741088</v>
      </c>
    </row>
    <row r="59" spans="1:7" s="6" customFormat="1">
      <c r="A59" s="58" t="s">
        <v>461</v>
      </c>
      <c r="B59" s="94" t="s">
        <v>17</v>
      </c>
      <c r="C59" s="167"/>
      <c r="D59" s="256"/>
      <c r="E59" s="63"/>
      <c r="F59" s="128">
        <f>F60+F61</f>
        <v>105.69127999999999</v>
      </c>
      <c r="G59" s="18"/>
    </row>
    <row r="60" spans="1:7">
      <c r="A60" s="50" t="s">
        <v>462</v>
      </c>
      <c r="B60" s="248" t="s">
        <v>610</v>
      </c>
      <c r="C60" s="77" t="s">
        <v>335</v>
      </c>
      <c r="D60" s="237">
        <f>1/6*$D$9/100</f>
        <v>5.5333333333333332E-2</v>
      </c>
      <c r="E60" s="63">
        <v>643.66</v>
      </c>
      <c r="F60" s="63">
        <f>E60*D60</f>
        <v>35.615853333333334</v>
      </c>
    </row>
    <row r="61" spans="1:7">
      <c r="A61" s="50" t="s">
        <v>463</v>
      </c>
      <c r="B61" s="248" t="s">
        <v>593</v>
      </c>
      <c r="C61" s="77" t="s">
        <v>335</v>
      </c>
      <c r="D61" s="237">
        <f>1/6*$D$10/100</f>
        <v>0.11133333333333333</v>
      </c>
      <c r="E61" s="63">
        <v>629.41999999999996</v>
      </c>
      <c r="F61" s="63">
        <f>E61*D61</f>
        <v>70.075426666666658</v>
      </c>
    </row>
    <row r="62" spans="1:7">
      <c r="A62" s="58" t="s">
        <v>468</v>
      </c>
      <c r="B62" s="94" t="s">
        <v>18</v>
      </c>
      <c r="C62" s="77" t="s">
        <v>335</v>
      </c>
      <c r="D62" s="256"/>
      <c r="E62" s="63"/>
      <c r="F62" s="128">
        <f>F63+F64</f>
        <v>103.43395428571429</v>
      </c>
    </row>
    <row r="63" spans="1:7">
      <c r="A63" s="50" t="s">
        <v>489</v>
      </c>
      <c r="B63" s="248" t="s">
        <v>213</v>
      </c>
      <c r="C63" s="77" t="s">
        <v>335</v>
      </c>
      <c r="D63" s="237">
        <f>1/5*$D$9/100</f>
        <v>6.6400000000000001E-2</v>
      </c>
      <c r="E63" s="63">
        <v>501.3</v>
      </c>
      <c r="F63" s="63">
        <f>E63*D63</f>
        <v>33.286320000000003</v>
      </c>
    </row>
    <row r="64" spans="1:7">
      <c r="A64" s="50" t="s">
        <v>490</v>
      </c>
      <c r="B64" s="248" t="s">
        <v>594</v>
      </c>
      <c r="C64" s="77" t="s">
        <v>335</v>
      </c>
      <c r="D64" s="237">
        <f>1/3.5*$D$10/100</f>
        <v>0.19085714285714286</v>
      </c>
      <c r="E64" s="63">
        <v>367.54</v>
      </c>
      <c r="F64" s="63">
        <f>E64*D64</f>
        <v>70.14763428571429</v>
      </c>
    </row>
    <row r="65" spans="1:7">
      <c r="A65" s="58" t="s">
        <v>469</v>
      </c>
      <c r="B65" s="94" t="s">
        <v>647</v>
      </c>
      <c r="C65" s="77"/>
      <c r="D65" s="256"/>
      <c r="E65" s="63"/>
      <c r="F65" s="128">
        <f>F66+F67+F68+F69+F70</f>
        <v>200.79561066666665</v>
      </c>
    </row>
    <row r="66" spans="1:7">
      <c r="A66" s="50" t="s">
        <v>470</v>
      </c>
      <c r="B66" s="248" t="s">
        <v>28</v>
      </c>
      <c r="C66" s="77" t="s">
        <v>335</v>
      </c>
      <c r="D66" s="237">
        <f>1/3*$D$9/100</f>
        <v>0.11066666666666666</v>
      </c>
      <c r="E66" s="63">
        <v>407.87</v>
      </c>
      <c r="F66" s="63">
        <f t="shared" ref="F66:F71" si="2">E66*D66</f>
        <v>45.137613333333334</v>
      </c>
    </row>
    <row r="67" spans="1:7">
      <c r="A67" s="50" t="s">
        <v>471</v>
      </c>
      <c r="B67" s="248" t="s">
        <v>340</v>
      </c>
      <c r="C67" s="77" t="s">
        <v>335</v>
      </c>
      <c r="D67" s="237">
        <f>1/5*$D$9/100</f>
        <v>6.6400000000000001E-2</v>
      </c>
      <c r="E67" s="63">
        <v>403.69</v>
      </c>
      <c r="F67" s="63">
        <f t="shared" si="2"/>
        <v>26.805015999999998</v>
      </c>
    </row>
    <row r="68" spans="1:7">
      <c r="A68" s="50" t="s">
        <v>492</v>
      </c>
      <c r="B68" s="248" t="s">
        <v>598</v>
      </c>
      <c r="C68" s="129" t="s">
        <v>335</v>
      </c>
      <c r="D68" s="237">
        <f>1/2.5*$D$10/100</f>
        <v>0.26719999999999999</v>
      </c>
      <c r="E68" s="63">
        <v>290.14</v>
      </c>
      <c r="F68" s="63">
        <f t="shared" si="2"/>
        <v>77.525407999999999</v>
      </c>
    </row>
    <row r="69" spans="1:7" s="14" customFormat="1">
      <c r="A69" s="50" t="s">
        <v>493</v>
      </c>
      <c r="B69" s="248" t="s">
        <v>655</v>
      </c>
      <c r="C69" s="77" t="s">
        <v>335</v>
      </c>
      <c r="D69" s="249">
        <f>1/3*$D$10/100</f>
        <v>0.22266666666666665</v>
      </c>
      <c r="E69" s="63">
        <v>151.34</v>
      </c>
      <c r="F69" s="128">
        <f t="shared" si="2"/>
        <v>33.698373333333329</v>
      </c>
      <c r="G69" s="18"/>
    </row>
    <row r="70" spans="1:7" s="14" customFormat="1">
      <c r="A70" s="50" t="s">
        <v>494</v>
      </c>
      <c r="B70" s="248" t="s">
        <v>656</v>
      </c>
      <c r="C70" s="77" t="s">
        <v>335</v>
      </c>
      <c r="D70" s="249">
        <f>1/3*$D$9/100</f>
        <v>0.11066666666666666</v>
      </c>
      <c r="E70" s="63">
        <v>159.30000000000001</v>
      </c>
      <c r="F70" s="128">
        <f t="shared" si="2"/>
        <v>17.629200000000001</v>
      </c>
      <c r="G70" s="18"/>
    </row>
    <row r="71" spans="1:7" s="14" customFormat="1">
      <c r="A71" s="58" t="s">
        <v>473</v>
      </c>
      <c r="B71" s="94" t="s">
        <v>256</v>
      </c>
      <c r="C71" s="77" t="s">
        <v>335</v>
      </c>
      <c r="D71" s="258">
        <f>(1/5*$D$9+1/2*$D$10)/100</f>
        <v>0.40039999999999998</v>
      </c>
      <c r="E71" s="100">
        <v>184.09</v>
      </c>
      <c r="F71" s="128">
        <f t="shared" si="2"/>
        <v>73.709636000000003</v>
      </c>
      <c r="G71" s="18"/>
    </row>
    <row r="72" spans="1:7" s="14" customFormat="1">
      <c r="A72" s="171"/>
      <c r="B72" s="218" t="s">
        <v>338</v>
      </c>
      <c r="C72" s="218"/>
      <c r="D72" s="139"/>
      <c r="E72" s="62"/>
      <c r="F72" s="336">
        <f>загальнос!$F$82</f>
        <v>2464.5653576904142</v>
      </c>
      <c r="G72" s="18"/>
    </row>
    <row r="73" spans="1:7">
      <c r="A73" s="97" t="s">
        <v>374</v>
      </c>
      <c r="B73" s="252"/>
      <c r="C73" s="214"/>
      <c r="D73" s="61"/>
      <c r="E73" s="62"/>
      <c r="F73" s="173">
        <f>F12+F72</f>
        <v>4494.4416682999381</v>
      </c>
    </row>
    <row r="74" spans="1:7" ht="15.75">
      <c r="A74" s="259" t="s">
        <v>375</v>
      </c>
      <c r="B74" s="104"/>
      <c r="C74" s="75"/>
      <c r="D74" s="91"/>
      <c r="E74" s="260"/>
      <c r="F74" s="76">
        <f>F73/12</f>
        <v>374.53680569166153</v>
      </c>
    </row>
  </sheetData>
  <mergeCells count="2">
    <mergeCell ref="A3:F3"/>
    <mergeCell ref="A4:F4"/>
  </mergeCells>
  <phoneticPr fontId="30" type="noConversion"/>
  <pageMargins left="0.94" right="0.31" top="0.7" bottom="0.93" header="0.41" footer="0.67"/>
  <pageSetup paperSize="9" orientation="portrait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4"/>
  <sheetViews>
    <sheetView zoomScale="75" workbookViewId="0">
      <selection activeCell="F42" sqref="F42"/>
    </sheetView>
  </sheetViews>
  <sheetFormatPr defaultRowHeight="12.75"/>
  <cols>
    <col min="1" max="1" width="4.5703125" style="23" customWidth="1"/>
    <col min="2" max="2" width="28.7109375" customWidth="1"/>
    <col min="3" max="3" width="13.28515625" style="3" bestFit="1" customWidth="1"/>
    <col min="4" max="4" width="9.85546875" style="3" customWidth="1"/>
    <col min="5" max="5" width="9.5703125" style="3" customWidth="1"/>
    <col min="6" max="6" width="13.5703125" style="3" customWidth="1"/>
    <col min="7" max="7" width="13.85546875" bestFit="1" customWidth="1"/>
  </cols>
  <sheetData>
    <row r="1" spans="1:16" ht="14.25">
      <c r="A1" s="418" t="s">
        <v>318</v>
      </c>
      <c r="B1" s="418"/>
      <c r="C1" s="418"/>
      <c r="D1" s="418"/>
      <c r="E1" s="418"/>
      <c r="F1" s="418"/>
    </row>
    <row r="2" spans="1:16" ht="14.25">
      <c r="A2" s="418" t="s">
        <v>319</v>
      </c>
      <c r="B2" s="418"/>
      <c r="C2" s="418"/>
      <c r="D2" s="418"/>
      <c r="E2" s="418"/>
      <c r="F2" s="418"/>
    </row>
    <row r="3" spans="1:16">
      <c r="A3" s="109"/>
      <c r="B3" s="36"/>
      <c r="C3" s="37"/>
      <c r="D3" s="37"/>
      <c r="E3" s="37"/>
      <c r="F3" s="37"/>
    </row>
    <row r="4" spans="1:16">
      <c r="A4" s="149" t="s">
        <v>8</v>
      </c>
      <c r="B4" s="34"/>
      <c r="C4" s="150" t="s">
        <v>9</v>
      </c>
      <c r="D4" s="44" t="s">
        <v>182</v>
      </c>
      <c r="E4" s="44" t="s">
        <v>603</v>
      </c>
      <c r="F4" s="44" t="s">
        <v>106</v>
      </c>
    </row>
    <row r="5" spans="1:16">
      <c r="A5" s="92" t="s">
        <v>373</v>
      </c>
      <c r="B5" s="55"/>
      <c r="C5" s="46" t="s">
        <v>180</v>
      </c>
      <c r="D5" s="49" t="s">
        <v>183</v>
      </c>
      <c r="E5" s="49" t="s">
        <v>624</v>
      </c>
      <c r="F5" s="49" t="s">
        <v>105</v>
      </c>
    </row>
    <row r="6" spans="1:16">
      <c r="A6" s="92"/>
      <c r="B6" s="55"/>
      <c r="C6" s="46" t="s">
        <v>181</v>
      </c>
      <c r="D6" s="49" t="s">
        <v>192</v>
      </c>
      <c r="E6" s="49" t="s">
        <v>671</v>
      </c>
      <c r="F6" s="49"/>
    </row>
    <row r="7" spans="1:16" ht="12" customHeight="1">
      <c r="A7" s="92"/>
      <c r="B7" s="55"/>
      <c r="C7" s="46"/>
      <c r="D7" s="49" t="s">
        <v>644</v>
      </c>
      <c r="E7" s="272" t="s">
        <v>669</v>
      </c>
      <c r="F7" s="49"/>
    </row>
    <row r="8" spans="1:16" ht="14.25" customHeight="1">
      <c r="A8" s="151"/>
      <c r="B8" s="35"/>
      <c r="C8" s="91"/>
      <c r="D8" s="106" t="s">
        <v>198</v>
      </c>
      <c r="E8" s="278" t="s">
        <v>660</v>
      </c>
      <c r="F8" s="124" t="s">
        <v>660</v>
      </c>
    </row>
    <row r="9" spans="1:16">
      <c r="A9" s="92"/>
      <c r="B9" s="55"/>
      <c r="C9" s="37"/>
      <c r="D9" s="49"/>
      <c r="E9" s="49"/>
      <c r="F9" s="47"/>
    </row>
    <row r="10" spans="1:16">
      <c r="A10" s="152"/>
      <c r="B10" s="55"/>
      <c r="C10" s="311"/>
      <c r="D10" s="130"/>
      <c r="E10" s="130"/>
      <c r="F10" s="99"/>
    </row>
    <row r="11" spans="1:16" ht="14.25">
      <c r="A11" s="152">
        <v>1</v>
      </c>
      <c r="B11" s="55" t="s">
        <v>599</v>
      </c>
      <c r="C11" s="310">
        <v>4849.6589999999997</v>
      </c>
      <c r="D11" s="49"/>
      <c r="E11" s="49"/>
      <c r="F11" s="63">
        <f>F14+F17</f>
        <v>1182306.9030098398</v>
      </c>
      <c r="I11" s="292"/>
    </row>
    <row r="12" spans="1:16">
      <c r="A12" s="152"/>
      <c r="B12" s="55" t="s">
        <v>214</v>
      </c>
      <c r="C12" s="311"/>
      <c r="D12" s="49"/>
      <c r="E12" s="49"/>
      <c r="F12" s="49"/>
    </row>
    <row r="13" spans="1:16">
      <c r="A13" s="152"/>
      <c r="B13" s="55"/>
      <c r="C13" s="311"/>
      <c r="D13" s="49"/>
      <c r="E13" s="49"/>
      <c r="F13" s="49"/>
    </row>
    <row r="14" spans="1:16">
      <c r="A14" s="152"/>
      <c r="B14" s="55" t="s">
        <v>320</v>
      </c>
      <c r="C14" s="312">
        <f>C11*0.85</f>
        <v>4122.2101499999999</v>
      </c>
      <c r="D14" s="314">
        <v>31.36</v>
      </c>
      <c r="E14" s="49">
        <v>6.8789999999999996</v>
      </c>
      <c r="F14" s="63">
        <f>C14*D14*E14</f>
        <v>889265.59838121594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152"/>
      <c r="B15" s="55" t="s">
        <v>215</v>
      </c>
      <c r="C15" s="311"/>
      <c r="D15" s="314"/>
      <c r="E15" s="49"/>
      <c r="F15" s="63"/>
      <c r="G15" s="28"/>
      <c r="H15" s="327"/>
      <c r="I15" s="28"/>
      <c r="J15" s="28"/>
      <c r="K15" s="28"/>
      <c r="L15" s="28"/>
      <c r="M15" s="28"/>
      <c r="N15" s="28"/>
      <c r="O15" s="28"/>
      <c r="P15" s="28"/>
    </row>
    <row r="16" spans="1:16">
      <c r="A16" s="152"/>
      <c r="B16" s="55"/>
      <c r="C16" s="311"/>
      <c r="D16" s="314"/>
      <c r="E16" s="49"/>
      <c r="F16" s="63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152"/>
      <c r="B17" s="55" t="s">
        <v>600</v>
      </c>
      <c r="C17" s="312">
        <f>C11*0.15</f>
        <v>727.44884999999988</v>
      </c>
      <c r="D17" s="314">
        <v>58.56</v>
      </c>
      <c r="E17" s="49">
        <v>6.8789999999999996</v>
      </c>
      <c r="F17" s="63">
        <f>C17*D17*E17</f>
        <v>293041.30462862394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152"/>
      <c r="B18" s="55" t="s">
        <v>186</v>
      </c>
      <c r="C18" s="311"/>
      <c r="D18" s="314"/>
      <c r="E18" s="49"/>
      <c r="F18" s="63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152"/>
      <c r="B19" s="55" t="s">
        <v>216</v>
      </c>
      <c r="C19" s="311"/>
      <c r="D19" s="314"/>
      <c r="E19" s="49"/>
      <c r="F19" s="63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152"/>
      <c r="B20" s="55" t="s">
        <v>188</v>
      </c>
      <c r="C20" s="311"/>
      <c r="D20" s="314"/>
      <c r="E20" s="49"/>
      <c r="F20" s="63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152"/>
      <c r="B21" s="55"/>
      <c r="C21" s="311"/>
      <c r="D21" s="314"/>
      <c r="E21" s="49"/>
      <c r="F21" s="63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152"/>
      <c r="B22" s="55"/>
      <c r="C22" s="311"/>
      <c r="D22" s="314"/>
      <c r="E22" s="63"/>
      <c r="F22" s="63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14.25">
      <c r="A23" s="152">
        <v>2</v>
      </c>
      <c r="B23" s="55" t="s">
        <v>599</v>
      </c>
      <c r="C23" s="310">
        <v>1309.5250000000001</v>
      </c>
      <c r="D23" s="314">
        <v>75.52</v>
      </c>
      <c r="E23" s="49">
        <v>6.8789999999999996</v>
      </c>
      <c r="F23" s="63">
        <f>C23*D23*E23</f>
        <v>680300.96131200006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152"/>
      <c r="B24" s="55" t="s">
        <v>217</v>
      </c>
      <c r="C24" s="311"/>
      <c r="D24" s="314"/>
      <c r="E24" s="49"/>
      <c r="F24" s="63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152"/>
      <c r="B25" s="55" t="s">
        <v>218</v>
      </c>
      <c r="C25" s="311"/>
      <c r="D25" s="314"/>
      <c r="E25" s="49"/>
      <c r="F25" s="63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152"/>
      <c r="B26" s="55"/>
      <c r="C26" s="311"/>
      <c r="D26" s="314"/>
      <c r="E26" s="49"/>
      <c r="F26" s="63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8" customHeight="1">
      <c r="A27" s="152">
        <v>3</v>
      </c>
      <c r="B27" s="55" t="s">
        <v>189</v>
      </c>
      <c r="C27" s="310">
        <v>7714.2479999999996</v>
      </c>
      <c r="D27" s="314">
        <v>431.2</v>
      </c>
      <c r="E27" s="49">
        <v>6.8789999999999996</v>
      </c>
      <c r="F27" s="63">
        <f>C27*D27*E27</f>
        <v>22882193.730950397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152"/>
      <c r="B28" s="55" t="s">
        <v>190</v>
      </c>
      <c r="C28" s="311"/>
      <c r="D28" s="314"/>
      <c r="E28" s="49"/>
      <c r="F28" s="49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152"/>
      <c r="B29" s="55" t="s">
        <v>191</v>
      </c>
      <c r="C29" s="311"/>
      <c r="D29" s="49"/>
      <c r="E29" s="49"/>
      <c r="F29" s="49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152"/>
      <c r="B30" s="55"/>
      <c r="C30" s="311"/>
      <c r="D30" s="49"/>
      <c r="E30" s="49"/>
      <c r="F30" s="79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52"/>
      <c r="B31" s="55"/>
      <c r="C31" s="311"/>
      <c r="D31" s="49"/>
      <c r="E31" s="49"/>
      <c r="F31" s="79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4.25">
      <c r="A32" s="152" t="s">
        <v>625</v>
      </c>
      <c r="B32" s="55" t="s">
        <v>664</v>
      </c>
      <c r="C32" s="313">
        <f>C11+C23+C27</f>
        <v>13873.431999999999</v>
      </c>
      <c r="D32" s="49"/>
      <c r="E32" s="314"/>
      <c r="F32" s="31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152"/>
      <c r="B33" s="36"/>
      <c r="C33" s="314"/>
      <c r="D33" s="49"/>
      <c r="E33" s="314"/>
      <c r="F33" s="31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152"/>
      <c r="B34" s="55"/>
      <c r="C34" s="311"/>
      <c r="D34" s="130"/>
      <c r="E34" s="325"/>
      <c r="F34" s="326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4.25">
      <c r="A35" s="152"/>
      <c r="B35" s="55" t="s">
        <v>639</v>
      </c>
      <c r="C35" s="311"/>
      <c r="D35" s="130"/>
      <c r="E35" s="63"/>
      <c r="F35" s="154">
        <f>F11+F23+F27</f>
        <v>24744801.595272236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152"/>
      <c r="B36" s="55"/>
      <c r="C36" s="311"/>
      <c r="D36" s="130"/>
      <c r="E36" s="63"/>
      <c r="F36" s="153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4.25">
      <c r="A37" s="152"/>
      <c r="B37" s="94" t="s">
        <v>316</v>
      </c>
      <c r="C37" s="311"/>
      <c r="D37" s="99"/>
      <c r="E37" s="63"/>
      <c r="F37" s="153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4.25">
      <c r="A38" s="152"/>
      <c r="B38" s="94" t="s">
        <v>317</v>
      </c>
      <c r="C38" s="316">
        <v>15033.4</v>
      </c>
      <c r="D38" s="314"/>
      <c r="E38" s="317"/>
      <c r="F38" s="31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155"/>
      <c r="B39" s="55"/>
      <c r="C39" s="314"/>
      <c r="D39" s="314"/>
      <c r="E39" s="318"/>
      <c r="F39" s="319">
        <v>2.58</v>
      </c>
      <c r="G39" s="28"/>
      <c r="H39" s="31"/>
      <c r="I39" s="28"/>
      <c r="J39" s="28"/>
      <c r="K39" s="28"/>
      <c r="L39" s="28"/>
      <c r="M39" s="28"/>
      <c r="N39" s="28"/>
      <c r="O39" s="28"/>
      <c r="P39" s="28"/>
    </row>
    <row r="40" spans="1:16">
      <c r="A40" s="155"/>
      <c r="B40" s="55"/>
      <c r="C40" s="49"/>
      <c r="D40" s="49"/>
      <c r="E40" s="46"/>
      <c r="F40" s="47" t="s">
        <v>535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4.25">
      <c r="A41" s="155"/>
      <c r="B41" s="94" t="s">
        <v>379</v>
      </c>
      <c r="C41" s="49"/>
      <c r="D41" s="49"/>
      <c r="E41" s="46"/>
      <c r="F41" s="47" t="s">
        <v>536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4.25">
      <c r="A42" s="156"/>
      <c r="B42" s="157" t="s">
        <v>197</v>
      </c>
      <c r="C42" s="158"/>
      <c r="D42" s="158"/>
      <c r="E42" s="159"/>
      <c r="F42" s="160">
        <f>F35/C38/F39</f>
        <v>637.97998924132639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G44" s="28"/>
      <c r="H44" s="28"/>
      <c r="I44" s="28"/>
      <c r="J44" s="28"/>
      <c r="K44" s="28"/>
      <c r="L44" s="28"/>
      <c r="M44" s="28"/>
      <c r="N44" s="28"/>
      <c r="O44" s="28"/>
      <c r="P44" s="28"/>
    </row>
  </sheetData>
  <mergeCells count="2">
    <mergeCell ref="A1:F1"/>
    <mergeCell ref="A2:F2"/>
  </mergeCells>
  <phoneticPr fontId="30" type="noConversion"/>
  <pageMargins left="0.64" right="0.43" top="0.8" bottom="1" header="0.5" footer="0.5"/>
  <pageSetup paperSize="9" orientation="portrait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7"/>
  <sheetViews>
    <sheetView zoomScale="75" workbookViewId="0">
      <selection activeCell="D9" sqref="D9"/>
    </sheetView>
  </sheetViews>
  <sheetFormatPr defaultRowHeight="12.75"/>
  <cols>
    <col min="1" max="1" width="3.85546875" style="24" customWidth="1"/>
    <col min="2" max="2" width="32.7109375" customWidth="1"/>
    <col min="3" max="3" width="15.7109375" customWidth="1"/>
    <col min="4" max="4" width="12.5703125" customWidth="1"/>
    <col min="5" max="5" width="9.42578125" customWidth="1"/>
    <col min="6" max="6" width="9.28515625" customWidth="1"/>
    <col min="8" max="8" width="9.85546875" bestFit="1" customWidth="1"/>
    <col min="9" max="9" width="12" bestFit="1" customWidth="1"/>
    <col min="11" max="11" width="12.140625" customWidth="1"/>
    <col min="12" max="13" width="10.42578125" bestFit="1" customWidth="1"/>
    <col min="14" max="14" width="11" bestFit="1" customWidth="1"/>
  </cols>
  <sheetData>
    <row r="1" spans="1:7" ht="14.25">
      <c r="A1" s="416" t="s">
        <v>601</v>
      </c>
      <c r="B1" s="416"/>
      <c r="C1" s="416"/>
      <c r="D1" s="416"/>
      <c r="E1" s="416"/>
      <c r="F1" s="416"/>
      <c r="G1" s="416"/>
    </row>
    <row r="2" spans="1:7">
      <c r="A2" s="118"/>
      <c r="B2" s="36"/>
      <c r="C2" s="37"/>
      <c r="D2" s="37"/>
      <c r="E2" s="37"/>
      <c r="F2" s="37"/>
      <c r="G2" s="37"/>
    </row>
    <row r="3" spans="1:7">
      <c r="A3" s="261" t="s">
        <v>8</v>
      </c>
      <c r="B3" s="44" t="s">
        <v>102</v>
      </c>
      <c r="C3" s="177" t="s">
        <v>103</v>
      </c>
      <c r="D3" s="42" t="s">
        <v>104</v>
      </c>
      <c r="E3" s="42" t="s">
        <v>603</v>
      </c>
      <c r="F3" s="42" t="s">
        <v>106</v>
      </c>
      <c r="G3" s="42" t="s">
        <v>106</v>
      </c>
    </row>
    <row r="4" spans="1:7">
      <c r="A4" s="96"/>
      <c r="B4" s="49"/>
      <c r="C4" s="129"/>
      <c r="D4" s="47"/>
      <c r="E4" s="47" t="s">
        <v>671</v>
      </c>
      <c r="F4" s="47"/>
      <c r="G4" s="47"/>
    </row>
    <row r="5" spans="1:7">
      <c r="A5" s="96" t="s">
        <v>373</v>
      </c>
      <c r="B5" s="55"/>
      <c r="C5" s="129" t="s">
        <v>81</v>
      </c>
      <c r="D5" s="47" t="s">
        <v>105</v>
      </c>
      <c r="E5" s="47" t="s">
        <v>669</v>
      </c>
      <c r="F5" s="47" t="s">
        <v>105</v>
      </c>
      <c r="G5" s="47" t="s">
        <v>105</v>
      </c>
    </row>
    <row r="6" spans="1:7">
      <c r="A6" s="96"/>
      <c r="B6" s="55"/>
      <c r="C6" s="129"/>
      <c r="D6" s="47"/>
      <c r="E6" s="51"/>
      <c r="F6" s="47" t="s">
        <v>178</v>
      </c>
      <c r="G6" s="47" t="s">
        <v>183</v>
      </c>
    </row>
    <row r="7" spans="1:7">
      <c r="A7" s="64"/>
      <c r="B7" s="55"/>
      <c r="C7" s="129"/>
      <c r="D7" s="47" t="s">
        <v>294</v>
      </c>
      <c r="E7" s="51"/>
      <c r="F7" s="47"/>
      <c r="G7" s="47"/>
    </row>
    <row r="8" spans="1:7">
      <c r="A8" s="262"/>
      <c r="B8" s="35"/>
      <c r="C8" s="91"/>
      <c r="D8" s="293">
        <v>2.58</v>
      </c>
      <c r="E8" s="93" t="s">
        <v>660</v>
      </c>
      <c r="F8" s="278" t="s">
        <v>660</v>
      </c>
      <c r="G8" s="124" t="s">
        <v>660</v>
      </c>
    </row>
    <row r="9" spans="1:7">
      <c r="A9" s="40"/>
      <c r="B9" s="44"/>
      <c r="C9" s="150"/>
      <c r="D9" s="43"/>
      <c r="E9" s="44"/>
      <c r="F9" s="44"/>
      <c r="G9" s="44"/>
    </row>
    <row r="10" spans="1:7" ht="14.25">
      <c r="A10" s="58">
        <v>1</v>
      </c>
      <c r="B10" s="94" t="s">
        <v>131</v>
      </c>
      <c r="C10" s="167" t="s">
        <v>614</v>
      </c>
      <c r="D10" s="170">
        <v>21</v>
      </c>
      <c r="E10" s="49">
        <v>2.27</v>
      </c>
      <c r="F10" s="63">
        <f>E10*D10*12</f>
        <v>572.04</v>
      </c>
      <c r="G10" s="263">
        <f>F10/12</f>
        <v>47.669999999999995</v>
      </c>
    </row>
    <row r="11" spans="1:7">
      <c r="A11" s="50"/>
      <c r="B11" s="55"/>
      <c r="C11" s="77" t="s">
        <v>177</v>
      </c>
      <c r="D11" s="237"/>
      <c r="E11" s="49"/>
      <c r="F11" s="63"/>
      <c r="G11" s="49"/>
    </row>
    <row r="12" spans="1:7" ht="14.25">
      <c r="A12" s="58" t="s">
        <v>438</v>
      </c>
      <c r="B12" s="94" t="s">
        <v>201</v>
      </c>
      <c r="C12" s="77" t="s">
        <v>135</v>
      </c>
      <c r="D12" s="36"/>
      <c r="E12" s="53"/>
      <c r="F12" s="264">
        <f>F14+F17+F20</f>
        <v>366.67656000000005</v>
      </c>
      <c r="G12" s="265">
        <f>F12/12</f>
        <v>30.556380000000004</v>
      </c>
    </row>
    <row r="13" spans="1:7" ht="14.25">
      <c r="A13" s="58"/>
      <c r="B13" s="94" t="s">
        <v>132</v>
      </c>
      <c r="C13" s="77" t="s">
        <v>183</v>
      </c>
      <c r="D13" s="36"/>
      <c r="E13" s="53"/>
      <c r="F13" s="170">
        <f>F15+F18+F21</f>
        <v>302.3904</v>
      </c>
      <c r="G13" s="128">
        <f>F13/12</f>
        <v>25.199200000000001</v>
      </c>
    </row>
    <row r="14" spans="1:7" ht="15">
      <c r="A14" s="58"/>
      <c r="B14" s="94"/>
      <c r="C14" s="77" t="s">
        <v>177</v>
      </c>
      <c r="D14" s="266">
        <v>3.2</v>
      </c>
      <c r="E14" s="79">
        <v>6.07</v>
      </c>
      <c r="F14" s="63">
        <f>D14*E14*0.23*12</f>
        <v>53.610240000000019</v>
      </c>
      <c r="G14" s="267">
        <f>F14/12</f>
        <v>4.4675200000000013</v>
      </c>
    </row>
    <row r="15" spans="1:7" ht="15">
      <c r="A15" s="58"/>
      <c r="B15" s="94"/>
      <c r="C15" s="77"/>
      <c r="D15" s="99">
        <v>3</v>
      </c>
      <c r="E15" s="79">
        <v>5.2</v>
      </c>
      <c r="F15" s="63">
        <f>E15*D15*0.23*12</f>
        <v>43.056000000000004</v>
      </c>
      <c r="G15" s="133">
        <f>F15/12</f>
        <v>3.5880000000000005</v>
      </c>
    </row>
    <row r="16" spans="1:7" ht="15">
      <c r="A16" s="58"/>
      <c r="B16" s="233"/>
      <c r="C16" s="77"/>
      <c r="D16" s="99"/>
      <c r="E16" s="79"/>
      <c r="F16" s="63"/>
      <c r="G16" s="133"/>
    </row>
    <row r="17" spans="1:13" ht="15">
      <c r="A17" s="58"/>
      <c r="B17" s="233"/>
      <c r="C17" s="77"/>
      <c r="D17" s="266">
        <v>4.4000000000000004</v>
      </c>
      <c r="E17" s="79">
        <v>6.07</v>
      </c>
      <c r="F17" s="63">
        <f>E17*D17*0.12*12</f>
        <v>38.459520000000005</v>
      </c>
      <c r="G17" s="267">
        <f>F17/12</f>
        <v>3.2049600000000003</v>
      </c>
    </row>
    <row r="18" spans="1:13" ht="15">
      <c r="A18" s="58"/>
      <c r="B18" s="233"/>
      <c r="C18" s="77"/>
      <c r="D18" s="99">
        <v>4.3</v>
      </c>
      <c r="E18" s="79">
        <v>5.2</v>
      </c>
      <c r="F18" s="63">
        <f>E18*D18*0.12*12</f>
        <v>32.198399999999999</v>
      </c>
      <c r="G18" s="133">
        <f>F18/12</f>
        <v>2.6831999999999998</v>
      </c>
    </row>
    <row r="19" spans="1:13" ht="15">
      <c r="A19" s="58"/>
      <c r="B19" s="233"/>
      <c r="C19" s="77"/>
      <c r="D19" s="130"/>
      <c r="E19" s="79"/>
      <c r="F19" s="63"/>
      <c r="G19" s="133"/>
    </row>
    <row r="20" spans="1:13" ht="15">
      <c r="A20" s="58"/>
      <c r="B20" s="233"/>
      <c r="C20" s="77"/>
      <c r="D20" s="266">
        <v>5.8</v>
      </c>
      <c r="E20" s="79">
        <v>6.07</v>
      </c>
      <c r="F20" s="63">
        <f>E20*D20*0.65*12</f>
        <v>274.60680000000002</v>
      </c>
      <c r="G20" s="267">
        <f>F20/12</f>
        <v>22.883900000000001</v>
      </c>
    </row>
    <row r="21" spans="1:13" ht="15">
      <c r="A21" s="58"/>
      <c r="B21" s="233"/>
      <c r="C21" s="77"/>
      <c r="D21" s="99">
        <v>5.6</v>
      </c>
      <c r="E21" s="79">
        <v>5.2</v>
      </c>
      <c r="F21" s="63">
        <f>E21*D21*0.65*12</f>
        <v>227.13599999999997</v>
      </c>
      <c r="G21" s="133">
        <f>F21/12</f>
        <v>18.927999999999997</v>
      </c>
    </row>
    <row r="22" spans="1:13" ht="14.25">
      <c r="A22" s="58"/>
      <c r="B22" s="233"/>
      <c r="C22" s="77"/>
      <c r="D22" s="130"/>
      <c r="E22" s="79"/>
      <c r="F22" s="63"/>
      <c r="G22" s="63"/>
    </row>
    <row r="23" spans="1:13" ht="14.25">
      <c r="A23" s="58" t="s">
        <v>439</v>
      </c>
      <c r="B23" s="233" t="s">
        <v>133</v>
      </c>
      <c r="C23" s="77"/>
      <c r="D23" s="130"/>
      <c r="E23" s="79"/>
      <c r="F23" s="63">
        <f>F24+F25</f>
        <v>2679.9500000000003</v>
      </c>
      <c r="G23" s="128">
        <f>F23/12</f>
        <v>223.32916666666668</v>
      </c>
      <c r="I23" s="27"/>
    </row>
    <row r="24" spans="1:13">
      <c r="A24" s="96"/>
      <c r="B24" s="36" t="s">
        <v>199</v>
      </c>
      <c r="C24" s="47" t="s">
        <v>616</v>
      </c>
      <c r="D24" s="49">
        <v>2.4</v>
      </c>
      <c r="E24" s="178">
        <v>1330</v>
      </c>
      <c r="F24" s="63">
        <f>E24*D24*0.65</f>
        <v>2074.8000000000002</v>
      </c>
      <c r="G24" s="63">
        <f>F24/12</f>
        <v>172.9</v>
      </c>
    </row>
    <row r="25" spans="1:13">
      <c r="A25" s="96"/>
      <c r="B25" s="36" t="s">
        <v>200</v>
      </c>
      <c r="C25" s="47" t="s">
        <v>615</v>
      </c>
      <c r="D25" s="63">
        <v>1.3</v>
      </c>
      <c r="E25" s="178">
        <v>1330</v>
      </c>
      <c r="F25" s="63">
        <f>E25*D25*0.35</f>
        <v>605.15</v>
      </c>
      <c r="G25" s="63">
        <f>F25/12</f>
        <v>50.429166666666667</v>
      </c>
    </row>
    <row r="26" spans="1:13">
      <c r="A26" s="96"/>
      <c r="B26" s="36"/>
      <c r="C26" s="47"/>
      <c r="D26" s="63"/>
      <c r="E26" s="178"/>
      <c r="F26" s="63"/>
      <c r="G26" s="63"/>
    </row>
    <row r="27" spans="1:13" ht="14.25">
      <c r="A27" s="97" t="s">
        <v>440</v>
      </c>
      <c r="B27" s="69" t="s">
        <v>82</v>
      </c>
      <c r="C27" s="47"/>
      <c r="D27" s="49"/>
      <c r="E27" s="37"/>
      <c r="F27" s="63">
        <f>F28+F29+F30+F31</f>
        <v>426.59302325581393</v>
      </c>
      <c r="G27" s="128">
        <f t="shared" ref="G27:G34" si="0">F27/12</f>
        <v>35.549418604651159</v>
      </c>
    </row>
    <row r="28" spans="1:13" ht="38.25">
      <c r="A28" s="96"/>
      <c r="B28" s="328" t="s">
        <v>666</v>
      </c>
      <c r="C28" s="329" t="s">
        <v>665</v>
      </c>
      <c r="D28" s="330">
        <v>1320</v>
      </c>
      <c r="E28" s="321">
        <v>0.71399999999999997</v>
      </c>
      <c r="F28" s="63">
        <f>(100*12*E28)*95/100/D$8</f>
        <v>315.48837209302326</v>
      </c>
      <c r="G28" s="63">
        <f t="shared" si="0"/>
        <v>26.290697674418606</v>
      </c>
      <c r="J28" s="29"/>
      <c r="M28" s="29"/>
    </row>
    <row r="29" spans="1:13">
      <c r="A29" s="96"/>
      <c r="B29" s="36" t="s">
        <v>667</v>
      </c>
      <c r="C29" s="47"/>
      <c r="D29" s="63"/>
      <c r="E29" s="321">
        <v>1.29</v>
      </c>
      <c r="F29" s="63">
        <f>((1320-100*12)*E29)*95/100/D$8</f>
        <v>57.000000000000007</v>
      </c>
      <c r="G29" s="63">
        <f t="shared" si="0"/>
        <v>4.7500000000000009</v>
      </c>
      <c r="J29" s="29"/>
      <c r="M29" s="29"/>
    </row>
    <row r="30" spans="1:13" ht="38.25">
      <c r="A30" s="96"/>
      <c r="B30" s="328" t="s">
        <v>668</v>
      </c>
      <c r="C30" s="47"/>
      <c r="D30" s="330">
        <v>2700</v>
      </c>
      <c r="E30" s="321">
        <v>0.71399999999999997</v>
      </c>
      <c r="F30" s="63">
        <f>(100*12*E30)*5/100/D$8</f>
        <v>16.604651162790699</v>
      </c>
      <c r="G30" s="63">
        <f t="shared" si="0"/>
        <v>1.3837209302325582</v>
      </c>
    </row>
    <row r="31" spans="1:13">
      <c r="A31" s="96"/>
      <c r="B31" s="36" t="s">
        <v>667</v>
      </c>
      <c r="C31" s="47"/>
      <c r="D31" s="49"/>
      <c r="E31" s="321">
        <v>1.29</v>
      </c>
      <c r="F31" s="63">
        <f>((2700-100*12)*E31)*5/100/D$8</f>
        <v>37.5</v>
      </c>
      <c r="G31" s="63">
        <f t="shared" si="0"/>
        <v>3.125</v>
      </c>
    </row>
    <row r="32" spans="1:13" ht="14.25">
      <c r="A32" s="97" t="s">
        <v>448</v>
      </c>
      <c r="B32" s="69" t="s">
        <v>602</v>
      </c>
      <c r="C32" s="47"/>
      <c r="D32" s="49"/>
      <c r="E32" s="37"/>
      <c r="F32" s="63">
        <f>F33+F34+F36+F38+F40</f>
        <v>203.75503875968991</v>
      </c>
      <c r="G32" s="128">
        <f t="shared" si="0"/>
        <v>16.979586563307492</v>
      </c>
      <c r="L32" s="292"/>
    </row>
    <row r="33" spans="1:13">
      <c r="A33" s="268"/>
      <c r="B33" s="36" t="s">
        <v>136</v>
      </c>
      <c r="C33" s="47" t="s">
        <v>617</v>
      </c>
      <c r="D33" s="99">
        <v>52</v>
      </c>
      <c r="E33" s="37">
        <v>4.33</v>
      </c>
      <c r="F33" s="63">
        <f>E33*D33/D8</f>
        <v>87.271317829457359</v>
      </c>
      <c r="G33" s="63">
        <f t="shared" si="0"/>
        <v>7.2726098191214463</v>
      </c>
    </row>
    <row r="34" spans="1:13">
      <c r="A34" s="268"/>
      <c r="B34" s="36" t="s">
        <v>137</v>
      </c>
      <c r="C34" s="47" t="s">
        <v>175</v>
      </c>
      <c r="D34" s="99">
        <v>15</v>
      </c>
      <c r="E34" s="37">
        <v>0.12</v>
      </c>
      <c r="F34" s="49">
        <f>D34*E34*12</f>
        <v>21.599999999999998</v>
      </c>
      <c r="G34" s="63">
        <f t="shared" si="0"/>
        <v>1.7999999999999998</v>
      </c>
    </row>
    <row r="35" spans="1:13">
      <c r="A35" s="268"/>
      <c r="B35" s="36" t="s">
        <v>355</v>
      </c>
      <c r="C35" s="47" t="s">
        <v>618</v>
      </c>
      <c r="D35" s="99"/>
      <c r="E35" s="37"/>
      <c r="F35" s="49"/>
      <c r="G35" s="63"/>
    </row>
    <row r="36" spans="1:13">
      <c r="A36" s="268"/>
      <c r="B36" s="36" t="s">
        <v>138</v>
      </c>
      <c r="C36" s="47" t="s">
        <v>620</v>
      </c>
      <c r="D36" s="67">
        <v>1</v>
      </c>
      <c r="E36" s="37">
        <v>2.4</v>
      </c>
      <c r="F36" s="63">
        <f>E36*D36/D8*12</f>
        <v>11.162790697674419</v>
      </c>
      <c r="G36" s="63">
        <f>F36/12</f>
        <v>0.93023255813953487</v>
      </c>
    </row>
    <row r="37" spans="1:13">
      <c r="A37" s="268"/>
      <c r="B37" s="36"/>
      <c r="C37" s="47" t="s">
        <v>619</v>
      </c>
      <c r="D37" s="67"/>
      <c r="E37" s="37"/>
      <c r="F37" s="63"/>
      <c r="G37" s="63"/>
    </row>
    <row r="38" spans="1:13">
      <c r="A38" s="268"/>
      <c r="B38" s="36" t="s">
        <v>139</v>
      </c>
      <c r="C38" s="47" t="s">
        <v>621</v>
      </c>
      <c r="D38" s="63">
        <v>1</v>
      </c>
      <c r="E38" s="37">
        <v>17</v>
      </c>
      <c r="F38" s="63">
        <f>E38*D38*12/D8</f>
        <v>79.069767441860463</v>
      </c>
      <c r="G38" s="63">
        <f>F38/12</f>
        <v>6.5891472868217056</v>
      </c>
    </row>
    <row r="39" spans="1:13" ht="15">
      <c r="A39" s="268"/>
      <c r="B39" s="36"/>
      <c r="C39" s="47" t="s">
        <v>622</v>
      </c>
      <c r="D39" s="63"/>
      <c r="E39" s="37"/>
      <c r="F39" s="63"/>
      <c r="G39" s="63"/>
      <c r="I39" s="323"/>
    </row>
    <row r="40" spans="1:13" ht="15">
      <c r="A40" s="268"/>
      <c r="B40" s="36" t="s">
        <v>140</v>
      </c>
      <c r="C40" s="47" t="s">
        <v>621</v>
      </c>
      <c r="D40" s="63">
        <v>1</v>
      </c>
      <c r="E40" s="269">
        <v>1</v>
      </c>
      <c r="F40" s="63">
        <f>E40*D40*12/D8</f>
        <v>4.6511627906976747</v>
      </c>
      <c r="G40" s="63">
        <f>F40/12</f>
        <v>0.38759689922480622</v>
      </c>
      <c r="J40" s="289"/>
      <c r="M40" s="29"/>
    </row>
    <row r="41" spans="1:13" ht="15">
      <c r="A41" s="268"/>
      <c r="B41" s="36"/>
      <c r="C41" s="47" t="s">
        <v>622</v>
      </c>
      <c r="D41" s="63"/>
      <c r="E41" s="269"/>
      <c r="F41" s="63"/>
      <c r="G41" s="63"/>
      <c r="J41" s="289"/>
      <c r="M41" s="29"/>
    </row>
    <row r="42" spans="1:13" ht="15">
      <c r="A42" s="268" t="s">
        <v>455</v>
      </c>
      <c r="B42" s="270" t="s">
        <v>641</v>
      </c>
      <c r="C42" s="47" t="s">
        <v>612</v>
      </c>
      <c r="D42" s="99">
        <v>12</v>
      </c>
      <c r="E42" s="62">
        <f>(53.05+16.61+46.82)/3</f>
        <v>38.826666666666661</v>
      </c>
      <c r="F42" s="63">
        <f>E42*D42/D8</f>
        <v>180.58914728682169</v>
      </c>
      <c r="G42" s="128">
        <f>F42/12</f>
        <v>15.04909560723514</v>
      </c>
      <c r="J42" s="323"/>
    </row>
    <row r="43" spans="1:13">
      <c r="A43" s="96"/>
      <c r="B43" s="33" t="s">
        <v>179</v>
      </c>
      <c r="C43" s="47" t="s">
        <v>178</v>
      </c>
      <c r="D43" s="49"/>
      <c r="E43" s="46"/>
      <c r="F43" s="49"/>
      <c r="G43" s="49"/>
    </row>
    <row r="44" spans="1:13">
      <c r="A44" s="96"/>
      <c r="B44" s="33" t="s">
        <v>613</v>
      </c>
      <c r="C44" s="47" t="s">
        <v>623</v>
      </c>
      <c r="D44" s="49"/>
      <c r="E44" s="46"/>
      <c r="F44" s="49"/>
      <c r="G44" s="49"/>
      <c r="L44" s="292"/>
    </row>
    <row r="45" spans="1:13" ht="15">
      <c r="A45" s="64"/>
      <c r="B45" s="55" t="s">
        <v>295</v>
      </c>
      <c r="C45" s="47" t="s">
        <v>622</v>
      </c>
      <c r="D45" s="49"/>
      <c r="E45" s="48"/>
      <c r="F45" s="49"/>
      <c r="G45" s="49"/>
      <c r="I45" s="323"/>
    </row>
    <row r="46" spans="1:13" ht="14.25">
      <c r="A46" s="262"/>
      <c r="B46" s="157"/>
      <c r="C46" s="106"/>
      <c r="D46" s="115"/>
      <c r="E46" s="271"/>
      <c r="F46" s="160"/>
      <c r="G46" s="106"/>
    </row>
    <row r="47" spans="1:13">
      <c r="C47" s="3"/>
      <c r="D47" s="3"/>
      <c r="E47" s="3"/>
      <c r="F47" s="3"/>
      <c r="G47" s="3"/>
    </row>
  </sheetData>
  <mergeCells count="1">
    <mergeCell ref="A1:G1"/>
  </mergeCells>
  <phoneticPr fontId="30" type="noConversion"/>
  <pageMargins left="0.75" right="0.28000000000000003" top="0.63" bottom="1" header="1.1399999999999999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topLeftCell="B1" workbookViewId="0">
      <selection activeCell="I25" sqref="I25:L26"/>
    </sheetView>
  </sheetViews>
  <sheetFormatPr defaultRowHeight="12.75"/>
  <cols>
    <col min="1" max="1" width="5.140625" style="24" customWidth="1"/>
    <col min="2" max="2" width="27.7109375" customWidth="1"/>
    <col min="3" max="3" width="14.140625" customWidth="1"/>
    <col min="7" max="7" width="9.85546875" customWidth="1"/>
    <col min="9" max="9" width="9.28515625" bestFit="1" customWidth="1"/>
    <col min="10" max="12" width="9.5703125" bestFit="1" customWidth="1"/>
  </cols>
  <sheetData>
    <row r="1" spans="1:12" ht="14.25">
      <c r="A1" s="419" t="s">
        <v>347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</row>
    <row r="2" spans="1:12">
      <c r="A2" s="161"/>
      <c r="B2" s="75"/>
      <c r="C2" s="91"/>
      <c r="D2" s="91"/>
      <c r="E2" s="91"/>
      <c r="F2" s="91"/>
      <c r="G2" s="75"/>
      <c r="H2" s="75"/>
      <c r="I2" s="33"/>
      <c r="J2" s="33"/>
      <c r="K2" s="33"/>
      <c r="L2" s="33"/>
    </row>
    <row r="3" spans="1:12">
      <c r="A3" s="45" t="s">
        <v>8</v>
      </c>
      <c r="B3" s="49" t="s">
        <v>141</v>
      </c>
      <c r="C3" s="46" t="s">
        <v>103</v>
      </c>
      <c r="D3" s="47" t="s">
        <v>603</v>
      </c>
      <c r="E3" s="411" t="s">
        <v>537</v>
      </c>
      <c r="F3" s="412"/>
      <c r="G3" s="412"/>
      <c r="H3" s="413"/>
      <c r="I3" s="420" t="s">
        <v>538</v>
      </c>
      <c r="J3" s="421"/>
      <c r="K3" s="421"/>
      <c r="L3" s="422"/>
    </row>
    <row r="4" spans="1:12">
      <c r="A4" s="45" t="s">
        <v>373</v>
      </c>
      <c r="B4" s="49" t="s">
        <v>142</v>
      </c>
      <c r="C4" s="46" t="s">
        <v>81</v>
      </c>
      <c r="D4" s="47" t="s">
        <v>671</v>
      </c>
      <c r="E4" s="129" t="s">
        <v>80</v>
      </c>
      <c r="F4" s="47" t="s">
        <v>80</v>
      </c>
      <c r="G4" s="54" t="s">
        <v>163</v>
      </c>
      <c r="H4" s="54" t="s">
        <v>165</v>
      </c>
      <c r="I4" s="47" t="s">
        <v>80</v>
      </c>
      <c r="J4" s="47" t="s">
        <v>80</v>
      </c>
      <c r="K4" s="54" t="s">
        <v>163</v>
      </c>
      <c r="L4" s="47" t="s">
        <v>165</v>
      </c>
    </row>
    <row r="5" spans="1:12">
      <c r="A5" s="96"/>
      <c r="B5" s="49"/>
      <c r="C5" s="46"/>
      <c r="D5" s="47" t="s">
        <v>669</v>
      </c>
      <c r="E5" s="129" t="s">
        <v>159</v>
      </c>
      <c r="F5" s="47" t="s">
        <v>161</v>
      </c>
      <c r="G5" s="129" t="s">
        <v>164</v>
      </c>
      <c r="H5" s="54" t="s">
        <v>166</v>
      </c>
      <c r="I5" s="47" t="s">
        <v>159</v>
      </c>
      <c r="J5" s="47" t="s">
        <v>161</v>
      </c>
      <c r="K5" s="129" t="s">
        <v>164</v>
      </c>
      <c r="L5" s="47" t="s">
        <v>166</v>
      </c>
    </row>
    <row r="6" spans="1:12">
      <c r="A6" s="96"/>
      <c r="B6" s="55"/>
      <c r="C6" s="46"/>
      <c r="D6" s="51"/>
      <c r="E6" s="129" t="s">
        <v>160</v>
      </c>
      <c r="F6" s="47" t="s">
        <v>160</v>
      </c>
      <c r="G6" s="162"/>
      <c r="H6" s="47" t="s">
        <v>167</v>
      </c>
      <c r="I6" s="129" t="s">
        <v>160</v>
      </c>
      <c r="J6" s="47" t="s">
        <v>160</v>
      </c>
      <c r="K6" s="36"/>
      <c r="L6" s="47" t="s">
        <v>167</v>
      </c>
    </row>
    <row r="7" spans="1:12">
      <c r="A7" s="96"/>
      <c r="B7" s="55"/>
      <c r="C7" s="46"/>
      <c r="D7" s="47"/>
      <c r="E7" s="129"/>
      <c r="F7" s="47" t="s">
        <v>162</v>
      </c>
      <c r="G7" s="163"/>
      <c r="H7" s="47" t="s">
        <v>116</v>
      </c>
      <c r="I7" s="36"/>
      <c r="J7" s="47" t="s">
        <v>162</v>
      </c>
      <c r="K7" s="129"/>
      <c r="L7" s="47" t="s">
        <v>116</v>
      </c>
    </row>
    <row r="8" spans="1:12">
      <c r="A8" s="45"/>
      <c r="B8" s="49"/>
      <c r="C8" s="46"/>
      <c r="D8" s="55"/>
      <c r="E8" s="129"/>
      <c r="F8" s="47"/>
      <c r="G8" s="129"/>
      <c r="H8" s="54"/>
      <c r="I8" s="47"/>
      <c r="J8" s="36"/>
      <c r="K8" s="54"/>
      <c r="L8" s="55"/>
    </row>
    <row r="9" spans="1:12">
      <c r="A9" s="164"/>
      <c r="B9" s="35"/>
      <c r="C9" s="33"/>
      <c r="D9" s="47" t="s">
        <v>660</v>
      </c>
      <c r="E9" s="162"/>
      <c r="F9" s="165"/>
      <c r="G9" s="162"/>
      <c r="H9" s="105"/>
      <c r="I9" s="278" t="s">
        <v>660</v>
      </c>
      <c r="J9" s="124" t="s">
        <v>660</v>
      </c>
      <c r="K9" s="278" t="s">
        <v>660</v>
      </c>
      <c r="L9" s="124" t="s">
        <v>660</v>
      </c>
    </row>
    <row r="10" spans="1:12">
      <c r="A10" s="40"/>
      <c r="B10" s="44"/>
      <c r="C10" s="150"/>
      <c r="D10" s="44"/>
      <c r="E10" s="150"/>
      <c r="F10" s="44"/>
      <c r="G10" s="43"/>
      <c r="H10" s="43"/>
      <c r="I10" s="44"/>
      <c r="J10" s="150"/>
      <c r="K10" s="44"/>
      <c r="L10" s="44"/>
    </row>
    <row r="11" spans="1:12">
      <c r="A11" s="45">
        <v>1</v>
      </c>
      <c r="B11" s="55" t="s">
        <v>143</v>
      </c>
      <c r="C11" s="77" t="s">
        <v>149</v>
      </c>
      <c r="D11" s="166">
        <v>58.54</v>
      </c>
      <c r="E11" s="167" t="s">
        <v>90</v>
      </c>
      <c r="F11" s="99">
        <v>1</v>
      </c>
      <c r="G11" s="168">
        <v>2</v>
      </c>
      <c r="H11" s="99">
        <v>2</v>
      </c>
      <c r="I11" s="46" t="s">
        <v>90</v>
      </c>
      <c r="J11" s="63">
        <f>D11*F11</f>
        <v>58.54</v>
      </c>
      <c r="K11" s="62">
        <f>D11*G11</f>
        <v>117.08</v>
      </c>
      <c r="L11" s="63">
        <f>D11*H11</f>
        <v>117.08</v>
      </c>
    </row>
    <row r="12" spans="1:12">
      <c r="A12" s="45" t="s">
        <v>438</v>
      </c>
      <c r="B12" s="33" t="s">
        <v>298</v>
      </c>
      <c r="C12" s="47" t="s">
        <v>153</v>
      </c>
      <c r="D12" s="166">
        <v>40.380000000000003</v>
      </c>
      <c r="E12" s="49" t="s">
        <v>90</v>
      </c>
      <c r="F12" s="46">
        <v>0.2</v>
      </c>
      <c r="G12" s="49">
        <v>0.3</v>
      </c>
      <c r="H12" s="46">
        <v>0.3</v>
      </c>
      <c r="I12" s="49" t="s">
        <v>90</v>
      </c>
      <c r="J12" s="63">
        <f>D12*F12</f>
        <v>8.0760000000000005</v>
      </c>
      <c r="K12" s="63">
        <f>D12*G12</f>
        <v>12.114000000000001</v>
      </c>
      <c r="L12" s="63">
        <f>D12*H12</f>
        <v>12.114000000000001</v>
      </c>
    </row>
    <row r="13" spans="1:12">
      <c r="A13" s="45" t="s">
        <v>439</v>
      </c>
      <c r="B13" s="55" t="s">
        <v>144</v>
      </c>
      <c r="C13" s="77" t="s">
        <v>150</v>
      </c>
      <c r="D13" s="169">
        <v>169.02</v>
      </c>
      <c r="E13" s="77" t="s">
        <v>90</v>
      </c>
      <c r="F13" s="63" t="s">
        <v>90</v>
      </c>
      <c r="G13" s="46">
        <v>0.3</v>
      </c>
      <c r="H13" s="49">
        <v>0.3</v>
      </c>
      <c r="I13" s="46" t="s">
        <v>90</v>
      </c>
      <c r="J13" s="63" t="s">
        <v>90</v>
      </c>
      <c r="K13" s="62">
        <f>D13*G13</f>
        <v>50.706000000000003</v>
      </c>
      <c r="L13" s="63">
        <f>D13*H13</f>
        <v>50.706000000000003</v>
      </c>
    </row>
    <row r="14" spans="1:12">
      <c r="A14" s="45" t="s">
        <v>440</v>
      </c>
      <c r="B14" s="55" t="s">
        <v>208</v>
      </c>
      <c r="C14" s="77" t="s">
        <v>540</v>
      </c>
      <c r="D14" s="169">
        <v>521.51</v>
      </c>
      <c r="E14" s="77" t="s">
        <v>90</v>
      </c>
      <c r="F14" s="63" t="s">
        <v>90</v>
      </c>
      <c r="G14" s="46">
        <v>0.2</v>
      </c>
      <c r="H14" s="49">
        <v>0.2</v>
      </c>
      <c r="I14" s="46" t="s">
        <v>90</v>
      </c>
      <c r="J14" s="63" t="s">
        <v>90</v>
      </c>
      <c r="K14" s="62">
        <f>D14*G14</f>
        <v>104.30200000000001</v>
      </c>
      <c r="L14" s="63">
        <f>D14*H14</f>
        <v>104.30200000000001</v>
      </c>
    </row>
    <row r="15" spans="1:12">
      <c r="A15" s="45"/>
      <c r="B15" s="55" t="s">
        <v>207</v>
      </c>
      <c r="C15" s="77" t="s">
        <v>539</v>
      </c>
      <c r="D15" s="169"/>
      <c r="E15" s="77"/>
      <c r="F15" s="55"/>
      <c r="G15" s="46"/>
      <c r="H15" s="49"/>
      <c r="I15" s="46"/>
      <c r="J15" s="63"/>
      <c r="K15" s="62"/>
      <c r="L15" s="63"/>
    </row>
    <row r="16" spans="1:12">
      <c r="A16" s="45" t="s">
        <v>448</v>
      </c>
      <c r="B16" s="55" t="s">
        <v>145</v>
      </c>
      <c r="C16" s="77" t="s">
        <v>151</v>
      </c>
      <c r="D16" s="169">
        <v>50.44</v>
      </c>
      <c r="E16" s="77" t="s">
        <v>90</v>
      </c>
      <c r="F16" s="99">
        <v>0.1</v>
      </c>
      <c r="G16" s="46">
        <v>0.2</v>
      </c>
      <c r="H16" s="49">
        <v>0.2</v>
      </c>
      <c r="I16" s="46" t="s">
        <v>90</v>
      </c>
      <c r="J16" s="63">
        <f>D16*F16</f>
        <v>5.0440000000000005</v>
      </c>
      <c r="K16" s="62">
        <f>D16*G16</f>
        <v>10.088000000000001</v>
      </c>
      <c r="L16" s="63">
        <f t="shared" ref="L16:L21" si="0">D16*H16</f>
        <v>10.088000000000001</v>
      </c>
    </row>
    <row r="17" spans="1:12">
      <c r="A17" s="45" t="s">
        <v>455</v>
      </c>
      <c r="B17" s="33" t="s">
        <v>310</v>
      </c>
      <c r="C17" s="47" t="s">
        <v>155</v>
      </c>
      <c r="D17" s="166">
        <v>77.040000000000006</v>
      </c>
      <c r="E17" s="49" t="s">
        <v>90</v>
      </c>
      <c r="F17" s="46" t="s">
        <v>90</v>
      </c>
      <c r="G17" s="49">
        <v>0.1</v>
      </c>
      <c r="H17" s="46">
        <v>0.1</v>
      </c>
      <c r="I17" s="49" t="s">
        <v>90</v>
      </c>
      <c r="J17" s="46" t="s">
        <v>90</v>
      </c>
      <c r="K17" s="63">
        <f>D17*G17</f>
        <v>7.7040000000000006</v>
      </c>
      <c r="L17" s="63">
        <f t="shared" si="0"/>
        <v>7.7040000000000006</v>
      </c>
    </row>
    <row r="18" spans="1:12">
      <c r="A18" s="45" t="s">
        <v>456</v>
      </c>
      <c r="B18" s="33" t="s">
        <v>640</v>
      </c>
      <c r="C18" s="47" t="s">
        <v>152</v>
      </c>
      <c r="D18" s="169">
        <v>175.43</v>
      </c>
      <c r="E18" s="47" t="s">
        <v>90</v>
      </c>
      <c r="F18" s="168">
        <v>0.5</v>
      </c>
      <c r="G18" s="99">
        <v>1</v>
      </c>
      <c r="H18" s="46">
        <v>0.5</v>
      </c>
      <c r="I18" s="49" t="s">
        <v>90</v>
      </c>
      <c r="J18" s="62">
        <f>D18*F18</f>
        <v>87.715000000000003</v>
      </c>
      <c r="K18" s="63">
        <f>D18*G18</f>
        <v>175.43</v>
      </c>
      <c r="L18" s="63">
        <f t="shared" si="0"/>
        <v>87.715000000000003</v>
      </c>
    </row>
    <row r="19" spans="1:12">
      <c r="A19" s="45" t="s">
        <v>461</v>
      </c>
      <c r="B19" s="33" t="s">
        <v>311</v>
      </c>
      <c r="C19" s="49" t="s">
        <v>87</v>
      </c>
      <c r="D19" s="169">
        <v>17.399999999999999</v>
      </c>
      <c r="E19" s="49" t="s">
        <v>90</v>
      </c>
      <c r="F19" s="46" t="s">
        <v>90</v>
      </c>
      <c r="G19" s="49" t="s">
        <v>90</v>
      </c>
      <c r="H19" s="168">
        <v>2</v>
      </c>
      <c r="I19" s="49" t="s">
        <v>90</v>
      </c>
      <c r="J19" s="46" t="s">
        <v>90</v>
      </c>
      <c r="K19" s="49" t="s">
        <v>90</v>
      </c>
      <c r="L19" s="49">
        <f t="shared" si="0"/>
        <v>34.799999999999997</v>
      </c>
    </row>
    <row r="20" spans="1:12">
      <c r="A20" s="45" t="s">
        <v>468</v>
      </c>
      <c r="B20" s="33" t="s">
        <v>146</v>
      </c>
      <c r="C20" s="47" t="s">
        <v>154</v>
      </c>
      <c r="D20" s="169">
        <v>45.83</v>
      </c>
      <c r="E20" s="49" t="s">
        <v>90</v>
      </c>
      <c r="F20" s="49">
        <v>0.5</v>
      </c>
      <c r="G20" s="168">
        <v>1</v>
      </c>
      <c r="H20" s="99">
        <v>1</v>
      </c>
      <c r="I20" s="46" t="s">
        <v>90</v>
      </c>
      <c r="J20" s="170">
        <f>D20*F20</f>
        <v>22.914999999999999</v>
      </c>
      <c r="K20" s="63">
        <f>D20*G20</f>
        <v>45.83</v>
      </c>
      <c r="L20" s="63">
        <f t="shared" si="0"/>
        <v>45.83</v>
      </c>
    </row>
    <row r="21" spans="1:12">
      <c r="A21" s="45" t="s">
        <v>469</v>
      </c>
      <c r="B21" s="33" t="s">
        <v>147</v>
      </c>
      <c r="C21" s="47" t="s">
        <v>155</v>
      </c>
      <c r="D21" s="169">
        <v>33.64</v>
      </c>
      <c r="E21" s="49" t="s">
        <v>90</v>
      </c>
      <c r="F21" s="49">
        <v>0.2</v>
      </c>
      <c r="G21" s="46">
        <v>0.2</v>
      </c>
      <c r="H21" s="49">
        <v>0.1</v>
      </c>
      <c r="I21" s="46" t="s">
        <v>90</v>
      </c>
      <c r="J21" s="63">
        <f>D21*F21</f>
        <v>6.7280000000000006</v>
      </c>
      <c r="K21" s="62">
        <f>D21*G21</f>
        <v>6.7280000000000006</v>
      </c>
      <c r="L21" s="63">
        <f t="shared" si="0"/>
        <v>3.3640000000000003</v>
      </c>
    </row>
    <row r="22" spans="1:12">
      <c r="A22" s="45"/>
      <c r="B22" s="33"/>
      <c r="C22" s="47" t="s">
        <v>156</v>
      </c>
      <c r="D22" s="169"/>
      <c r="E22" s="63"/>
      <c r="F22" s="63"/>
      <c r="G22" s="33"/>
      <c r="H22" s="55"/>
      <c r="I22" s="46"/>
      <c r="J22" s="63"/>
      <c r="K22" s="62"/>
      <c r="L22" s="63"/>
    </row>
    <row r="23" spans="1:12">
      <c r="A23" s="45" t="s">
        <v>472</v>
      </c>
      <c r="B23" s="33" t="s">
        <v>148</v>
      </c>
      <c r="C23" s="47" t="s">
        <v>157</v>
      </c>
      <c r="D23" s="166">
        <f>(108.44+59.76)/2</f>
        <v>84.1</v>
      </c>
      <c r="E23" s="49">
        <v>0.4</v>
      </c>
      <c r="F23" s="99">
        <v>4</v>
      </c>
      <c r="G23" s="168">
        <v>4</v>
      </c>
      <c r="H23" s="99">
        <v>4</v>
      </c>
      <c r="I23" s="62">
        <f>D23*E23</f>
        <v>33.64</v>
      </c>
      <c r="J23" s="63">
        <f>D23*F23</f>
        <v>336.4</v>
      </c>
      <c r="K23" s="62">
        <f>D23*G23</f>
        <v>336.4</v>
      </c>
      <c r="L23" s="63">
        <f>D23*H23</f>
        <v>336.4</v>
      </c>
    </row>
    <row r="24" spans="1:12">
      <c r="A24" s="164"/>
      <c r="B24" s="75"/>
      <c r="C24" s="93" t="s">
        <v>158</v>
      </c>
      <c r="D24" s="91"/>
      <c r="E24" s="106"/>
      <c r="F24" s="106"/>
      <c r="G24" s="75"/>
      <c r="H24" s="35"/>
      <c r="I24" s="75"/>
      <c r="J24" s="35"/>
      <c r="K24" s="75"/>
      <c r="L24" s="35"/>
    </row>
    <row r="25" spans="1:12" ht="14.25">
      <c r="A25" s="171" t="s">
        <v>377</v>
      </c>
      <c r="B25" s="33"/>
      <c r="C25" s="46"/>
      <c r="D25" s="33"/>
      <c r="E25" s="33"/>
      <c r="F25" s="33"/>
      <c r="G25" s="33"/>
      <c r="H25" s="33"/>
      <c r="I25" s="172">
        <f>I23</f>
        <v>33.64</v>
      </c>
      <c r="J25" s="172">
        <f>SUM(J11:J24)</f>
        <v>525.41800000000001</v>
      </c>
      <c r="K25" s="172">
        <f>SUM(K11:K24)</f>
        <v>866.38199999999995</v>
      </c>
      <c r="L25" s="173">
        <f>SUM(L11:L24)</f>
        <v>810.10300000000007</v>
      </c>
    </row>
    <row r="26" spans="1:12" ht="14.25">
      <c r="A26" s="114" t="s">
        <v>378</v>
      </c>
      <c r="B26" s="75"/>
      <c r="C26" s="75"/>
      <c r="D26" s="75"/>
      <c r="E26" s="75"/>
      <c r="F26" s="75"/>
      <c r="G26" s="75"/>
      <c r="H26" s="75"/>
      <c r="I26" s="174">
        <f>I25/12</f>
        <v>2.8033333333333332</v>
      </c>
      <c r="J26" s="174">
        <f>J25/12</f>
        <v>43.784833333333331</v>
      </c>
      <c r="K26" s="174">
        <f>K25/12</f>
        <v>72.198499999999996</v>
      </c>
      <c r="L26" s="175">
        <f>L25/12</f>
        <v>67.508583333333334</v>
      </c>
    </row>
    <row r="28" spans="1:12">
      <c r="A28"/>
    </row>
    <row r="29" spans="1:12">
      <c r="A29"/>
    </row>
    <row r="30" spans="1:12">
      <c r="A30"/>
    </row>
    <row r="31" spans="1:12">
      <c r="A31"/>
    </row>
  </sheetData>
  <mergeCells count="3">
    <mergeCell ref="A1:L1"/>
    <mergeCell ref="I3:L3"/>
    <mergeCell ref="E3:H3"/>
  </mergeCells>
  <phoneticPr fontId="30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zoomScale="75" workbookViewId="0">
      <selection activeCell="I21" sqref="I21:J22"/>
    </sheetView>
  </sheetViews>
  <sheetFormatPr defaultRowHeight="12.75"/>
  <cols>
    <col min="1" max="1" width="4" customWidth="1"/>
    <col min="2" max="2" width="31.85546875" customWidth="1"/>
    <col min="3" max="3" width="10.42578125" customWidth="1"/>
    <col min="9" max="9" width="10.140625" bestFit="1" customWidth="1"/>
    <col min="10" max="10" width="11" bestFit="1" customWidth="1"/>
  </cols>
  <sheetData>
    <row r="1" spans="1:14" ht="14.25">
      <c r="A1" s="418" t="s">
        <v>423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</row>
    <row r="2" spans="1:14" ht="14.25">
      <c r="A2" s="36"/>
      <c r="B2" s="36"/>
      <c r="C2" s="37"/>
      <c r="D2" s="37"/>
      <c r="E2" s="37"/>
      <c r="F2" s="37"/>
      <c r="G2" s="37"/>
      <c r="H2" s="37"/>
      <c r="I2" s="119"/>
      <c r="J2" s="119"/>
      <c r="K2" s="119"/>
    </row>
    <row r="3" spans="1:14">
      <c r="A3" s="176"/>
      <c r="B3" s="44" t="s">
        <v>141</v>
      </c>
      <c r="C3" s="42" t="s">
        <v>106</v>
      </c>
      <c r="D3" s="177" t="s">
        <v>80</v>
      </c>
      <c r="E3" s="42" t="s">
        <v>80</v>
      </c>
      <c r="F3" s="56" t="s">
        <v>163</v>
      </c>
      <c r="G3" s="56" t="s">
        <v>165</v>
      </c>
      <c r="H3" s="42" t="s">
        <v>106</v>
      </c>
      <c r="I3" s="42" t="s">
        <v>106</v>
      </c>
      <c r="J3" s="177" t="s">
        <v>106</v>
      </c>
      <c r="K3" s="42" t="s">
        <v>106</v>
      </c>
    </row>
    <row r="4" spans="1:14">
      <c r="A4" s="53" t="s">
        <v>8</v>
      </c>
      <c r="B4" s="49" t="s">
        <v>142</v>
      </c>
      <c r="C4" s="47" t="s">
        <v>604</v>
      </c>
      <c r="D4" s="129" t="s">
        <v>159</v>
      </c>
      <c r="E4" s="47" t="s">
        <v>161</v>
      </c>
      <c r="F4" s="131" t="s">
        <v>164</v>
      </c>
      <c r="G4" s="54" t="s">
        <v>166</v>
      </c>
      <c r="H4" s="47" t="s">
        <v>105</v>
      </c>
      <c r="I4" s="47" t="s">
        <v>105</v>
      </c>
      <c r="J4" s="129" t="s">
        <v>105</v>
      </c>
      <c r="K4" s="47" t="s">
        <v>105</v>
      </c>
    </row>
    <row r="5" spans="1:14">
      <c r="A5" s="53" t="s">
        <v>373</v>
      </c>
      <c r="B5" s="55"/>
      <c r="C5" s="47" t="s">
        <v>671</v>
      </c>
      <c r="D5" s="129" t="s">
        <v>160</v>
      </c>
      <c r="E5" s="47" t="s">
        <v>160</v>
      </c>
      <c r="F5" s="131"/>
      <c r="G5" s="47" t="s">
        <v>167</v>
      </c>
      <c r="H5" s="129" t="s">
        <v>168</v>
      </c>
      <c r="I5" s="47" t="s">
        <v>168</v>
      </c>
      <c r="J5" s="54" t="s">
        <v>171</v>
      </c>
      <c r="K5" s="47" t="s">
        <v>173</v>
      </c>
    </row>
    <row r="6" spans="1:14">
      <c r="A6" s="53"/>
      <c r="B6" s="55"/>
      <c r="C6" s="47" t="s">
        <v>669</v>
      </c>
      <c r="D6" s="129"/>
      <c r="E6" s="47" t="s">
        <v>162</v>
      </c>
      <c r="F6" s="131"/>
      <c r="G6" s="47" t="s">
        <v>116</v>
      </c>
      <c r="H6" s="129" t="s">
        <v>159</v>
      </c>
      <c r="I6" s="47" t="s">
        <v>161</v>
      </c>
      <c r="J6" s="131" t="s">
        <v>172</v>
      </c>
      <c r="K6" s="47" t="s">
        <v>166</v>
      </c>
    </row>
    <row r="7" spans="1:14">
      <c r="A7" s="53"/>
      <c r="B7" s="55"/>
      <c r="C7" s="47"/>
      <c r="D7" s="129"/>
      <c r="E7" s="47"/>
      <c r="F7" s="54"/>
      <c r="G7" s="47"/>
      <c r="H7" s="129" t="s">
        <v>169</v>
      </c>
      <c r="I7" s="47" t="s">
        <v>160</v>
      </c>
      <c r="J7" s="131"/>
      <c r="K7" s="47" t="s">
        <v>167</v>
      </c>
    </row>
    <row r="8" spans="1:14">
      <c r="A8" s="49"/>
      <c r="B8" s="49"/>
      <c r="C8" s="47"/>
      <c r="D8" s="129"/>
      <c r="E8" s="47"/>
      <c r="F8" s="129"/>
      <c r="G8" s="54"/>
      <c r="H8" s="47"/>
      <c r="I8" s="77" t="s">
        <v>170</v>
      </c>
      <c r="J8" s="131"/>
      <c r="K8" s="47" t="s">
        <v>174</v>
      </c>
      <c r="N8" s="332"/>
    </row>
    <row r="9" spans="1:14">
      <c r="A9" s="35"/>
      <c r="B9" s="35"/>
      <c r="C9" s="93" t="s">
        <v>660</v>
      </c>
      <c r="D9" s="131"/>
      <c r="E9" s="93"/>
      <c r="F9" s="131"/>
      <c r="G9" s="105"/>
      <c r="H9" s="47" t="s">
        <v>660</v>
      </c>
      <c r="I9" s="47" t="s">
        <v>660</v>
      </c>
      <c r="J9" s="47" t="s">
        <v>660</v>
      </c>
      <c r="K9" s="47" t="s">
        <v>660</v>
      </c>
    </row>
    <row r="10" spans="1:14">
      <c r="A10" s="44"/>
      <c r="B10" s="44"/>
      <c r="C10" s="44"/>
      <c r="D10" s="150"/>
      <c r="E10" s="44"/>
      <c r="F10" s="43"/>
      <c r="G10" s="43"/>
      <c r="H10" s="44"/>
      <c r="I10" s="150"/>
      <c r="J10" s="44"/>
      <c r="K10" s="44"/>
    </row>
    <row r="11" spans="1:14">
      <c r="A11" s="55"/>
      <c r="B11" s="55"/>
      <c r="C11" s="49"/>
      <c r="D11" s="37"/>
      <c r="E11" s="67"/>
      <c r="F11" s="37"/>
      <c r="G11" s="49"/>
      <c r="H11" s="37"/>
      <c r="I11" s="49"/>
      <c r="J11" s="37"/>
      <c r="K11" s="49"/>
    </row>
    <row r="12" spans="1:14">
      <c r="A12" s="92">
        <v>1</v>
      </c>
      <c r="B12" s="55" t="s">
        <v>348</v>
      </c>
      <c r="C12" s="79">
        <v>2.4</v>
      </c>
      <c r="D12" s="167" t="s">
        <v>90</v>
      </c>
      <c r="E12" s="67">
        <v>147</v>
      </c>
      <c r="F12" s="37">
        <v>524</v>
      </c>
      <c r="G12" s="49" t="s">
        <v>90</v>
      </c>
      <c r="H12" s="37" t="s">
        <v>90</v>
      </c>
      <c r="I12" s="63">
        <f>C12*E12*0.658</f>
        <v>232.14240000000001</v>
      </c>
      <c r="J12" s="178">
        <f>C12*F12*0.703</f>
        <v>884.0927999999999</v>
      </c>
      <c r="K12" s="63" t="s">
        <v>90</v>
      </c>
    </row>
    <row r="13" spans="1:14">
      <c r="A13" s="92"/>
      <c r="B13" s="55" t="s">
        <v>193</v>
      </c>
      <c r="C13" s="77"/>
      <c r="D13" s="77"/>
      <c r="E13" s="63"/>
      <c r="F13" s="37"/>
      <c r="G13" s="49"/>
      <c r="H13" s="37"/>
      <c r="I13" s="63"/>
      <c r="J13" s="178"/>
      <c r="K13" s="63"/>
    </row>
    <row r="14" spans="1:14">
      <c r="A14" s="92"/>
      <c r="B14" s="55" t="s">
        <v>194</v>
      </c>
      <c r="C14" s="77"/>
      <c r="D14" s="77"/>
      <c r="E14" s="63"/>
      <c r="F14" s="37"/>
      <c r="G14" s="49"/>
      <c r="H14" s="37"/>
      <c r="I14" s="63"/>
      <c r="J14" s="178"/>
      <c r="K14" s="63"/>
    </row>
    <row r="15" spans="1:14">
      <c r="A15" s="92"/>
      <c r="B15" s="55"/>
      <c r="C15" s="77"/>
      <c r="D15" s="77"/>
      <c r="E15" s="63"/>
      <c r="F15" s="37"/>
      <c r="G15" s="49"/>
      <c r="H15" s="37"/>
      <c r="I15" s="63"/>
      <c r="J15" s="178"/>
      <c r="K15" s="63"/>
    </row>
    <row r="16" spans="1:14">
      <c r="A16" s="92"/>
      <c r="B16" s="55"/>
      <c r="C16" s="77"/>
      <c r="D16" s="77"/>
      <c r="E16" s="63"/>
      <c r="F16" s="37"/>
      <c r="G16" s="49"/>
      <c r="H16" s="37"/>
      <c r="I16" s="63"/>
      <c r="J16" s="178"/>
      <c r="K16" s="63"/>
    </row>
    <row r="17" spans="1:11">
      <c r="A17" s="92">
        <v>2</v>
      </c>
      <c r="B17" s="55" t="s">
        <v>349</v>
      </c>
      <c r="C17" s="179">
        <f>(8.07+16.45)/2</f>
        <v>12.26</v>
      </c>
      <c r="D17" s="77" t="s">
        <v>90</v>
      </c>
      <c r="E17" s="49">
        <v>27</v>
      </c>
      <c r="F17" s="37">
        <v>95</v>
      </c>
      <c r="G17" s="49" t="s">
        <v>90</v>
      </c>
      <c r="H17" s="37" t="s">
        <v>90</v>
      </c>
      <c r="I17" s="63">
        <f>C17*E17*0.342</f>
        <v>113.20884000000001</v>
      </c>
      <c r="J17" s="178">
        <f>C17*F17*0.297</f>
        <v>345.91590000000002</v>
      </c>
      <c r="K17" s="63" t="s">
        <v>90</v>
      </c>
    </row>
    <row r="18" spans="1:11">
      <c r="A18" s="92"/>
      <c r="B18" s="55" t="s">
        <v>195</v>
      </c>
      <c r="C18" s="77"/>
      <c r="D18" s="77"/>
      <c r="E18" s="63"/>
      <c r="F18" s="37"/>
      <c r="G18" s="49"/>
      <c r="H18" s="37"/>
      <c r="I18" s="63"/>
      <c r="J18" s="178"/>
      <c r="K18" s="63"/>
    </row>
    <row r="19" spans="1:11">
      <c r="A19" s="35"/>
      <c r="B19" s="104" t="s">
        <v>196</v>
      </c>
      <c r="C19" s="35"/>
      <c r="D19" s="91"/>
      <c r="E19" s="106"/>
      <c r="F19" s="91"/>
      <c r="G19" s="106"/>
      <c r="H19" s="91"/>
      <c r="I19" s="106"/>
      <c r="J19" s="91"/>
      <c r="K19" s="106"/>
    </row>
    <row r="20" spans="1:11">
      <c r="A20" s="176"/>
      <c r="B20" s="41"/>
      <c r="C20" s="41"/>
      <c r="D20" s="150"/>
      <c r="E20" s="150"/>
      <c r="F20" s="150"/>
      <c r="G20" s="150"/>
      <c r="H20" s="150"/>
      <c r="I20" s="150"/>
      <c r="J20" s="150"/>
      <c r="K20" s="78"/>
    </row>
    <row r="21" spans="1:11" ht="14.25">
      <c r="A21" s="59" t="s">
        <v>374</v>
      </c>
      <c r="B21" s="111"/>
      <c r="C21" s="111"/>
      <c r="D21" s="139"/>
      <c r="E21" s="139"/>
      <c r="F21" s="139"/>
      <c r="G21" s="139"/>
      <c r="H21" s="139" t="s">
        <v>90</v>
      </c>
      <c r="I21" s="172">
        <f>SUM(I12:I20)</f>
        <v>345.35124000000002</v>
      </c>
      <c r="J21" s="172">
        <f>SUM(J12:J20)</f>
        <v>1230.0086999999999</v>
      </c>
      <c r="K21" s="180" t="s">
        <v>90</v>
      </c>
    </row>
    <row r="22" spans="1:11" ht="14.25">
      <c r="A22" s="181" t="s">
        <v>375</v>
      </c>
      <c r="B22" s="89"/>
      <c r="C22" s="89"/>
      <c r="D22" s="159"/>
      <c r="E22" s="159"/>
      <c r="F22" s="159"/>
      <c r="G22" s="159"/>
      <c r="H22" s="159" t="s">
        <v>90</v>
      </c>
      <c r="I22" s="174">
        <f>I21/12</f>
        <v>28.77927</v>
      </c>
      <c r="J22" s="174">
        <f>J21/12</f>
        <v>102.50072499999999</v>
      </c>
      <c r="K22" s="182" t="s">
        <v>90</v>
      </c>
    </row>
  </sheetData>
  <mergeCells count="1">
    <mergeCell ref="A1:K1"/>
  </mergeCells>
  <phoneticPr fontId="30" type="noConversion"/>
  <pageMargins left="1.1499999999999999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3"/>
  <sheetViews>
    <sheetView topLeftCell="A4" zoomScale="75" workbookViewId="0">
      <selection activeCell="V33" sqref="V33"/>
    </sheetView>
  </sheetViews>
  <sheetFormatPr defaultRowHeight="12.75"/>
  <cols>
    <col min="1" max="1" width="28.42578125" customWidth="1"/>
    <col min="2" max="2" width="13.28515625" style="3" customWidth="1"/>
    <col min="3" max="3" width="13.85546875" style="3" customWidth="1"/>
    <col min="4" max="4" width="13" style="3" customWidth="1"/>
    <col min="5" max="5" width="12.85546875" customWidth="1"/>
    <col min="6" max="6" width="21" customWidth="1"/>
    <col min="7" max="7" width="9.42578125" customWidth="1"/>
    <col min="8" max="8" width="8.85546875" customWidth="1"/>
  </cols>
  <sheetData>
    <row r="2" spans="1:8">
      <c r="F2" s="408"/>
      <c r="G2" s="408"/>
      <c r="H2" s="408"/>
    </row>
    <row r="4" spans="1:8" ht="15.75">
      <c r="A4" s="402" t="s">
        <v>645</v>
      </c>
      <c r="B4" s="402"/>
      <c r="C4" s="402"/>
      <c r="D4" s="402"/>
      <c r="E4" s="402"/>
      <c r="F4" s="402"/>
      <c r="G4" s="402"/>
      <c r="H4" s="402"/>
    </row>
    <row r="5" spans="1:8" ht="15.75">
      <c r="A5" s="402" t="s">
        <v>670</v>
      </c>
      <c r="B5" s="402"/>
      <c r="C5" s="402"/>
      <c r="D5" s="402"/>
      <c r="E5" s="402"/>
      <c r="F5" s="402"/>
      <c r="G5" s="402"/>
      <c r="H5" s="402"/>
    </row>
    <row r="6" spans="1:8">
      <c r="A6" s="75"/>
      <c r="B6" s="91"/>
      <c r="C6" s="91"/>
      <c r="D6" s="91"/>
      <c r="E6" s="75"/>
      <c r="F6" s="75"/>
      <c r="G6" s="75"/>
      <c r="H6" s="75"/>
    </row>
    <row r="7" spans="1:8">
      <c r="A7" s="53"/>
      <c r="B7" s="411" t="s">
        <v>5</v>
      </c>
      <c r="C7" s="412"/>
      <c r="D7" s="413"/>
      <c r="E7" s="411" t="s">
        <v>642</v>
      </c>
      <c r="F7" s="412"/>
      <c r="G7" s="412"/>
      <c r="H7" s="413"/>
    </row>
    <row r="8" spans="1:8">
      <c r="A8" s="49" t="s">
        <v>0</v>
      </c>
      <c r="B8" s="37" t="s">
        <v>1</v>
      </c>
      <c r="C8" s="411" t="s">
        <v>424</v>
      </c>
      <c r="D8" s="412"/>
      <c r="E8" s="48" t="s">
        <v>1</v>
      </c>
      <c r="F8" s="43" t="s">
        <v>1</v>
      </c>
      <c r="G8" s="409" t="s">
        <v>424</v>
      </c>
      <c r="H8" s="410"/>
    </row>
    <row r="9" spans="1:8">
      <c r="A9" s="53"/>
      <c r="B9" s="48" t="s">
        <v>2</v>
      </c>
      <c r="C9" s="44" t="s">
        <v>6</v>
      </c>
      <c r="D9" s="43" t="s">
        <v>7</v>
      </c>
      <c r="E9" s="48" t="s">
        <v>2</v>
      </c>
      <c r="F9" s="48" t="s">
        <v>2</v>
      </c>
      <c r="G9" s="104"/>
      <c r="H9" s="183"/>
    </row>
    <row r="10" spans="1:8">
      <c r="A10" s="53"/>
      <c r="B10" s="48"/>
      <c r="C10" s="48"/>
      <c r="D10" s="48"/>
      <c r="E10" s="48" t="s">
        <v>365</v>
      </c>
      <c r="F10" s="48" t="s">
        <v>366</v>
      </c>
      <c r="G10" s="48" t="s">
        <v>6</v>
      </c>
      <c r="H10" s="49" t="s">
        <v>7</v>
      </c>
    </row>
    <row r="11" spans="1:8">
      <c r="A11" s="53"/>
      <c r="B11" s="48"/>
      <c r="C11" s="48"/>
      <c r="D11" s="48"/>
      <c r="E11" s="48" t="s">
        <v>367</v>
      </c>
      <c r="F11" s="49" t="s">
        <v>368</v>
      </c>
      <c r="G11" s="53"/>
      <c r="H11" s="55"/>
    </row>
    <row r="12" spans="1:8">
      <c r="A12" s="104"/>
      <c r="B12" s="115"/>
      <c r="C12" s="115"/>
      <c r="D12" s="115"/>
      <c r="E12" s="115" t="s">
        <v>369</v>
      </c>
      <c r="F12" s="115" t="s">
        <v>370</v>
      </c>
      <c r="G12" s="104"/>
      <c r="H12" s="35"/>
    </row>
    <row r="13" spans="1:8">
      <c r="A13" s="92"/>
      <c r="B13" s="46"/>
      <c r="C13" s="49"/>
      <c r="D13" s="46"/>
      <c r="E13" s="48"/>
      <c r="F13" s="99"/>
      <c r="G13" s="49"/>
      <c r="H13" s="79"/>
    </row>
    <row r="14" spans="1:8" ht="15.75">
      <c r="A14" s="184" t="s">
        <v>91</v>
      </c>
      <c r="B14" s="287">
        <f>SUM(C14:D14)</f>
        <v>2766689</v>
      </c>
      <c r="C14" s="282">
        <v>1425877</v>
      </c>
      <c r="D14" s="282">
        <v>1340812</v>
      </c>
      <c r="E14" s="315">
        <f>B14/B28*100</f>
        <v>6.4959659555277076</v>
      </c>
      <c r="F14" s="188">
        <f>B14/B18*100</f>
        <v>36.336837664693199</v>
      </c>
      <c r="G14" s="187">
        <f>C14/B14*100</f>
        <v>51.537306867522879</v>
      </c>
      <c r="H14" s="189">
        <f>D14/B14*100</f>
        <v>48.462693132477128</v>
      </c>
    </row>
    <row r="15" spans="1:8" s="12" customFormat="1" ht="18.75" customHeight="1">
      <c r="A15" s="138" t="s">
        <v>371</v>
      </c>
      <c r="B15" s="283"/>
      <c r="C15" s="284"/>
      <c r="D15" s="285"/>
      <c r="E15" s="190">
        <f>E14/100</f>
        <v>6.4959659555277077E-2</v>
      </c>
      <c r="F15" s="191"/>
      <c r="G15" s="190">
        <f>G14/100</f>
        <v>0.51537306867522881</v>
      </c>
      <c r="H15" s="193">
        <f>H14/100</f>
        <v>0.4846269313247713</v>
      </c>
    </row>
    <row r="16" spans="1:8" ht="27" customHeight="1">
      <c r="A16" s="184" t="s">
        <v>93</v>
      </c>
      <c r="B16" s="287">
        <f>SUM(C16:D16)</f>
        <v>4847317</v>
      </c>
      <c r="C16" s="282">
        <v>2491772</v>
      </c>
      <c r="D16" s="281">
        <v>2355545</v>
      </c>
      <c r="E16" s="315">
        <f>B16/B28*100</f>
        <v>11.381115191353528</v>
      </c>
      <c r="F16" s="188">
        <f>B16/B18*100</f>
        <v>63.663162335306801</v>
      </c>
      <c r="G16" s="187">
        <f>C16/B16*100</f>
        <v>51.405179401305922</v>
      </c>
      <c r="H16" s="189">
        <f>D16/B16*100</f>
        <v>48.594820598694085</v>
      </c>
    </row>
    <row r="17" spans="1:8" s="22" customFormat="1" ht="15">
      <c r="A17" s="138" t="s">
        <v>371</v>
      </c>
      <c r="B17" s="283"/>
      <c r="C17" s="286"/>
      <c r="D17" s="283"/>
      <c r="E17" s="190">
        <f>E16/100</f>
        <v>0.11381115191353527</v>
      </c>
      <c r="F17" s="192"/>
      <c r="G17" s="190">
        <f>G16/100</f>
        <v>0.51405179401305923</v>
      </c>
      <c r="H17" s="193">
        <f>H16/100</f>
        <v>0.48594820598694083</v>
      </c>
    </row>
    <row r="18" spans="1:8" ht="24" customHeight="1">
      <c r="A18" s="184" t="s">
        <v>425</v>
      </c>
      <c r="B18" s="282">
        <f>B14+B16</f>
        <v>7614006</v>
      </c>
      <c r="C18" s="282">
        <f>C14+C16</f>
        <v>3917649</v>
      </c>
      <c r="D18" s="281">
        <f>D14+D16</f>
        <v>3696357</v>
      </c>
      <c r="E18" s="315">
        <f>B18/B28*100</f>
        <v>17.877081146881238</v>
      </c>
      <c r="F18" s="279">
        <f>F14+F16</f>
        <v>100</v>
      </c>
      <c r="G18" s="184"/>
      <c r="H18" s="195"/>
    </row>
    <row r="19" spans="1:8" ht="15.75">
      <c r="A19" s="184"/>
      <c r="B19" s="281"/>
      <c r="C19" s="282"/>
      <c r="D19" s="281"/>
      <c r="E19" s="186"/>
      <c r="F19" s="194"/>
      <c r="G19" s="184"/>
      <c r="H19" s="195"/>
    </row>
    <row r="20" spans="1:8" ht="15.75">
      <c r="A20" s="184" t="s">
        <v>3</v>
      </c>
      <c r="B20" s="281"/>
      <c r="C20" s="282"/>
      <c r="D20" s="281"/>
      <c r="E20" s="186"/>
      <c r="F20" s="194"/>
      <c r="G20" s="184"/>
      <c r="H20" s="195"/>
    </row>
    <row r="21" spans="1:8" ht="15.75">
      <c r="A21" s="184" t="s">
        <v>4</v>
      </c>
      <c r="B21" s="287">
        <f>SUM(C21:D21)</f>
        <v>24883695</v>
      </c>
      <c r="C21" s="282">
        <v>12446505</v>
      </c>
      <c r="D21" s="281">
        <v>12437190</v>
      </c>
      <c r="E21" s="315">
        <f>B21/B28*100</f>
        <v>58.424938823169157</v>
      </c>
      <c r="F21" s="185">
        <v>100</v>
      </c>
      <c r="G21" s="187">
        <f>C21/B21*100</f>
        <v>50.018717075579012</v>
      </c>
      <c r="H21" s="189">
        <f>D21/B21*100</f>
        <v>49.981282924420988</v>
      </c>
    </row>
    <row r="22" spans="1:8" s="22" customFormat="1" ht="24" customHeight="1">
      <c r="A22" s="138" t="s">
        <v>372</v>
      </c>
      <c r="B22" s="283"/>
      <c r="C22" s="286"/>
      <c r="D22" s="283"/>
      <c r="E22" s="190">
        <f>E21/100</f>
        <v>0.58424938823169159</v>
      </c>
      <c r="F22" s="197"/>
      <c r="G22" s="190">
        <f>G21/100</f>
        <v>0.50018717075579011</v>
      </c>
      <c r="H22" s="193">
        <f>H21/100</f>
        <v>0.49981282924420989</v>
      </c>
    </row>
    <row r="23" spans="1:8" ht="15.75">
      <c r="A23" s="198"/>
      <c r="B23" s="288"/>
      <c r="C23" s="282"/>
      <c r="D23" s="281"/>
      <c r="E23" s="186"/>
      <c r="F23" s="185"/>
      <c r="G23" s="187"/>
      <c r="H23" s="189"/>
    </row>
    <row r="24" spans="1:8" ht="15.75">
      <c r="A24" s="184" t="s">
        <v>628</v>
      </c>
      <c r="B24" s="287">
        <f>SUM(C24:D24)</f>
        <v>10093178</v>
      </c>
      <c r="C24" s="282">
        <v>3353727</v>
      </c>
      <c r="D24" s="281">
        <v>6739451</v>
      </c>
      <c r="E24" s="315">
        <f>B24/B28*100</f>
        <v>23.697980029949605</v>
      </c>
      <c r="F24" s="185">
        <v>100</v>
      </c>
      <c r="G24" s="187">
        <f>C24/B24*100</f>
        <v>33.227661297561575</v>
      </c>
      <c r="H24" s="189">
        <f>D24/B24*100</f>
        <v>66.772338702438418</v>
      </c>
    </row>
    <row r="25" spans="1:8" ht="15.75">
      <c r="A25" s="184" t="s">
        <v>422</v>
      </c>
      <c r="B25" s="281"/>
      <c r="C25" s="282"/>
      <c r="D25" s="281"/>
      <c r="E25" s="186"/>
      <c r="F25" s="185"/>
      <c r="G25" s="187"/>
      <c r="H25" s="189"/>
    </row>
    <row r="26" spans="1:8" s="22" customFormat="1" ht="15">
      <c r="A26" s="138" t="s">
        <v>372</v>
      </c>
      <c r="B26" s="283"/>
      <c r="C26" s="286"/>
      <c r="D26" s="283"/>
      <c r="E26" s="190">
        <f>E24/100</f>
        <v>0.23697980029949606</v>
      </c>
      <c r="F26" s="197"/>
      <c r="G26" s="190">
        <f>G24/100</f>
        <v>0.33227661297561573</v>
      </c>
      <c r="H26" s="193">
        <f>H24/100</f>
        <v>0.66772338702438416</v>
      </c>
    </row>
    <row r="27" spans="1:8" s="22" customFormat="1" ht="15">
      <c r="A27" s="138"/>
      <c r="B27" s="283"/>
      <c r="C27" s="286"/>
      <c r="D27" s="283"/>
      <c r="E27" s="196"/>
      <c r="F27" s="197"/>
      <c r="G27" s="190"/>
      <c r="H27" s="193"/>
    </row>
    <row r="28" spans="1:8" ht="15.75">
      <c r="A28" s="184" t="s">
        <v>426</v>
      </c>
      <c r="B28" s="281">
        <f>B18+B21+B24</f>
        <v>42590879</v>
      </c>
      <c r="C28" s="282">
        <f>C18+C21+C24</f>
        <v>19717881</v>
      </c>
      <c r="D28" s="281">
        <f>D18+D21+D24</f>
        <v>22872998</v>
      </c>
      <c r="E28" s="280">
        <f>E14+E16+E21+E24</f>
        <v>100</v>
      </c>
      <c r="F28" s="185"/>
      <c r="G28" s="187">
        <f>C28/B28*100</f>
        <v>46.29601798075123</v>
      </c>
      <c r="H28" s="189">
        <f>D28/B28*100</f>
        <v>53.703982019248762</v>
      </c>
    </row>
    <row r="29" spans="1:8" ht="15.75">
      <c r="A29" s="199"/>
      <c r="B29" s="200"/>
      <c r="C29" s="201"/>
      <c r="D29" s="200"/>
      <c r="E29" s="199"/>
      <c r="F29" s="202"/>
      <c r="G29" s="199"/>
      <c r="H29" s="199"/>
    </row>
    <row r="30" spans="1:8">
      <c r="A30" s="36"/>
      <c r="B30" s="37"/>
      <c r="C30" s="37"/>
      <c r="D30" s="37"/>
      <c r="E30" s="36"/>
      <c r="F30" s="36"/>
      <c r="G30" s="36"/>
      <c r="H30" s="36"/>
    </row>
    <row r="31" spans="1:8">
      <c r="A31" s="36"/>
      <c r="B31" s="37"/>
      <c r="C31" s="37"/>
      <c r="D31" s="37"/>
      <c r="E31" s="36"/>
      <c r="F31" s="36"/>
      <c r="G31" s="36"/>
      <c r="H31" s="36"/>
    </row>
    <row r="32" spans="1:8">
      <c r="B32"/>
      <c r="C32"/>
      <c r="D32"/>
    </row>
    <row r="33" spans="2:4" ht="25.5" customHeight="1">
      <c r="B33"/>
      <c r="C33"/>
      <c r="D33"/>
    </row>
    <row r="34" spans="2:4">
      <c r="B34"/>
      <c r="C34"/>
      <c r="D34"/>
    </row>
    <row r="35" spans="2:4">
      <c r="B35"/>
      <c r="C35"/>
      <c r="D35"/>
    </row>
    <row r="36" spans="2:4">
      <c r="B36"/>
      <c r="C36"/>
      <c r="D36"/>
    </row>
    <row r="37" spans="2:4">
      <c r="B37"/>
      <c r="C37"/>
      <c r="D37"/>
    </row>
    <row r="38" spans="2:4">
      <c r="B38"/>
      <c r="C38"/>
      <c r="D38"/>
    </row>
    <row r="39" spans="2:4">
      <c r="B39"/>
      <c r="C39"/>
      <c r="D39"/>
    </row>
    <row r="40" spans="2:4">
      <c r="B40"/>
      <c r="C40"/>
      <c r="D40"/>
    </row>
    <row r="41" spans="2:4">
      <c r="B41"/>
      <c r="C41"/>
      <c r="D41"/>
    </row>
    <row r="42" spans="2:4">
      <c r="B42"/>
      <c r="C42"/>
      <c r="D42"/>
    </row>
    <row r="43" spans="2:4">
      <c r="B43"/>
      <c r="C43"/>
      <c r="D43"/>
    </row>
    <row r="44" spans="2:4">
      <c r="B44"/>
      <c r="C44"/>
      <c r="D44"/>
    </row>
    <row r="45" spans="2:4">
      <c r="B45"/>
      <c r="C45"/>
      <c r="D45"/>
    </row>
    <row r="46" spans="2:4">
      <c r="B46"/>
      <c r="C46"/>
      <c r="D46"/>
    </row>
    <row r="47" spans="2:4">
      <c r="B47"/>
      <c r="C47"/>
      <c r="D47"/>
    </row>
    <row r="48" spans="2:4">
      <c r="B48"/>
      <c r="C48"/>
      <c r="D48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 ht="18.75" customHeight="1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  <row r="135" spans="2:4">
      <c r="B135"/>
      <c r="C135"/>
      <c r="D135"/>
    </row>
    <row r="136" spans="2:4">
      <c r="B136"/>
      <c r="C136"/>
      <c r="D136"/>
    </row>
    <row r="137" spans="2:4">
      <c r="B137"/>
      <c r="C137"/>
      <c r="D137"/>
    </row>
    <row r="138" spans="2:4">
      <c r="B138"/>
      <c r="C138"/>
      <c r="D138"/>
    </row>
    <row r="139" spans="2:4">
      <c r="B139"/>
      <c r="C139"/>
      <c r="D139"/>
    </row>
    <row r="140" spans="2:4">
      <c r="B140"/>
      <c r="C140"/>
      <c r="D140"/>
    </row>
    <row r="141" spans="2:4">
      <c r="B141"/>
      <c r="C141"/>
      <c r="D141"/>
    </row>
    <row r="142" spans="2:4">
      <c r="B142"/>
      <c r="C142"/>
      <c r="D142"/>
    </row>
    <row r="143" spans="2:4">
      <c r="B143"/>
      <c r="C143"/>
      <c r="D143"/>
    </row>
    <row r="144" spans="2:4">
      <c r="B144"/>
      <c r="C144"/>
      <c r="D144"/>
    </row>
    <row r="145" spans="2:4">
      <c r="B145"/>
      <c r="C145"/>
      <c r="D145"/>
    </row>
    <row r="146" spans="2:4">
      <c r="B146"/>
      <c r="C146"/>
      <c r="D146"/>
    </row>
    <row r="147" spans="2:4">
      <c r="B147"/>
      <c r="C147"/>
      <c r="D147"/>
    </row>
    <row r="148" spans="2:4">
      <c r="B148"/>
      <c r="C148"/>
      <c r="D148"/>
    </row>
    <row r="149" spans="2:4">
      <c r="B149"/>
      <c r="C149"/>
      <c r="D149"/>
    </row>
    <row r="150" spans="2:4">
      <c r="B150"/>
      <c r="C150"/>
      <c r="D150"/>
    </row>
    <row r="151" spans="2:4">
      <c r="B151"/>
      <c r="C151"/>
      <c r="D151"/>
    </row>
    <row r="152" spans="2:4">
      <c r="B152"/>
      <c r="C152"/>
      <c r="D152"/>
    </row>
    <row r="153" spans="2:4">
      <c r="B153"/>
      <c r="C153"/>
      <c r="D153"/>
    </row>
    <row r="154" spans="2:4">
      <c r="B154"/>
      <c r="C154"/>
      <c r="D154"/>
    </row>
    <row r="155" spans="2:4">
      <c r="B155"/>
      <c r="C155"/>
      <c r="D155"/>
    </row>
    <row r="156" spans="2:4">
      <c r="B156"/>
      <c r="C156"/>
      <c r="D156"/>
    </row>
    <row r="157" spans="2:4">
      <c r="B157"/>
      <c r="C157"/>
      <c r="D157"/>
    </row>
    <row r="158" spans="2:4">
      <c r="B158"/>
      <c r="C158"/>
      <c r="D158"/>
    </row>
    <row r="159" spans="2:4">
      <c r="B159"/>
      <c r="C159"/>
      <c r="D159"/>
    </row>
    <row r="160" spans="2:4">
      <c r="B160"/>
      <c r="C160"/>
      <c r="D160"/>
    </row>
    <row r="161" spans="2:4">
      <c r="B161"/>
      <c r="C161"/>
      <c r="D161"/>
    </row>
    <row r="162" spans="2:4">
      <c r="B162"/>
      <c r="C162"/>
      <c r="D162"/>
    </row>
    <row r="163" spans="2:4">
      <c r="B163"/>
      <c r="C163"/>
      <c r="D163"/>
    </row>
    <row r="164" spans="2:4">
      <c r="B164"/>
      <c r="C164"/>
      <c r="D164"/>
    </row>
    <row r="165" spans="2:4">
      <c r="B165"/>
      <c r="C165"/>
      <c r="D165"/>
    </row>
    <row r="166" spans="2:4">
      <c r="B166"/>
      <c r="C166"/>
      <c r="D166"/>
    </row>
    <row r="167" spans="2:4">
      <c r="B167"/>
      <c r="C167"/>
      <c r="D167"/>
    </row>
    <row r="168" spans="2:4">
      <c r="B168"/>
      <c r="C168"/>
      <c r="D168"/>
    </row>
    <row r="169" spans="2:4">
      <c r="B169"/>
      <c r="C169"/>
      <c r="D169"/>
    </row>
    <row r="170" spans="2:4">
      <c r="B170"/>
      <c r="C170"/>
      <c r="D170"/>
    </row>
    <row r="171" spans="2:4">
      <c r="B171"/>
      <c r="C171"/>
      <c r="D171"/>
    </row>
    <row r="172" spans="2:4">
      <c r="B172"/>
      <c r="C172"/>
      <c r="D172"/>
    </row>
    <row r="173" spans="2:4">
      <c r="B173"/>
      <c r="C173"/>
      <c r="D173"/>
    </row>
    <row r="174" spans="2:4">
      <c r="B174"/>
      <c r="C174"/>
      <c r="D174"/>
    </row>
    <row r="175" spans="2:4">
      <c r="B175"/>
      <c r="C175"/>
      <c r="D175"/>
    </row>
    <row r="176" spans="2:4">
      <c r="B176"/>
      <c r="C176"/>
      <c r="D176"/>
    </row>
    <row r="177" spans="2:4">
      <c r="B177"/>
      <c r="C177"/>
      <c r="D177"/>
    </row>
    <row r="178" spans="2:4">
      <c r="B178"/>
      <c r="C178"/>
      <c r="D178"/>
    </row>
    <row r="179" spans="2:4">
      <c r="B179"/>
      <c r="C179"/>
      <c r="D179"/>
    </row>
    <row r="180" spans="2:4">
      <c r="B180"/>
      <c r="C180"/>
      <c r="D180"/>
    </row>
    <row r="181" spans="2:4">
      <c r="B181"/>
      <c r="C181"/>
      <c r="D181"/>
    </row>
    <row r="182" spans="2:4">
      <c r="B182"/>
      <c r="C182"/>
      <c r="D182"/>
    </row>
    <row r="183" spans="2:4">
      <c r="B183"/>
      <c r="C183"/>
      <c r="D183"/>
    </row>
    <row r="184" spans="2:4">
      <c r="B184"/>
      <c r="C184"/>
      <c r="D184"/>
    </row>
    <row r="185" spans="2:4">
      <c r="B185"/>
      <c r="C185"/>
      <c r="D185"/>
    </row>
    <row r="186" spans="2:4">
      <c r="B186"/>
      <c r="C186"/>
      <c r="D186"/>
    </row>
    <row r="187" spans="2:4">
      <c r="B187"/>
      <c r="C187"/>
      <c r="D187"/>
    </row>
    <row r="188" spans="2:4">
      <c r="B188"/>
      <c r="C188"/>
      <c r="D188"/>
    </row>
    <row r="189" spans="2:4">
      <c r="B189"/>
      <c r="C189"/>
      <c r="D189"/>
    </row>
    <row r="190" spans="2:4">
      <c r="B190"/>
      <c r="C190"/>
      <c r="D190"/>
    </row>
    <row r="191" spans="2:4">
      <c r="B191"/>
      <c r="C191"/>
      <c r="D191"/>
    </row>
    <row r="192" spans="2:4">
      <c r="B192"/>
      <c r="C192"/>
      <c r="D192"/>
    </row>
    <row r="193" spans="2:4">
      <c r="B193"/>
      <c r="C193"/>
      <c r="D193"/>
    </row>
    <row r="194" spans="2:4">
      <c r="B194"/>
      <c r="C194"/>
      <c r="D194"/>
    </row>
    <row r="195" spans="2:4">
      <c r="B195"/>
      <c r="C195"/>
      <c r="D195"/>
    </row>
    <row r="196" spans="2:4">
      <c r="B196"/>
      <c r="C196"/>
      <c r="D196"/>
    </row>
    <row r="197" spans="2:4">
      <c r="B197"/>
      <c r="C197"/>
      <c r="D197"/>
    </row>
    <row r="198" spans="2:4">
      <c r="B198"/>
      <c r="C198"/>
      <c r="D198"/>
    </row>
    <row r="199" spans="2:4">
      <c r="B199"/>
      <c r="C199"/>
      <c r="D199"/>
    </row>
    <row r="200" spans="2:4">
      <c r="B200"/>
      <c r="C200"/>
      <c r="D200"/>
    </row>
    <row r="201" spans="2:4">
      <c r="B201"/>
      <c r="C201"/>
      <c r="D201"/>
    </row>
    <row r="202" spans="2:4">
      <c r="B202"/>
      <c r="C202"/>
      <c r="D202"/>
    </row>
    <row r="203" spans="2:4">
      <c r="B203"/>
      <c r="C203"/>
      <c r="D203"/>
    </row>
    <row r="204" spans="2:4">
      <c r="B204"/>
      <c r="C204"/>
      <c r="D204"/>
    </row>
    <row r="205" spans="2:4">
      <c r="B205"/>
      <c r="C205"/>
      <c r="D205"/>
    </row>
    <row r="206" spans="2:4">
      <c r="B206"/>
      <c r="C206"/>
      <c r="D206"/>
    </row>
    <row r="207" spans="2:4">
      <c r="B207"/>
      <c r="C207"/>
      <c r="D207"/>
    </row>
    <row r="208" spans="2:4">
      <c r="B208"/>
      <c r="C208"/>
      <c r="D208"/>
    </row>
    <row r="209" spans="2:4">
      <c r="B209"/>
      <c r="C209"/>
      <c r="D209"/>
    </row>
    <row r="210" spans="2:4">
      <c r="B210"/>
      <c r="C210"/>
      <c r="D210"/>
    </row>
    <row r="211" spans="2:4">
      <c r="B211"/>
      <c r="C211"/>
      <c r="D211"/>
    </row>
    <row r="212" spans="2:4">
      <c r="B212"/>
      <c r="C212"/>
      <c r="D212"/>
    </row>
    <row r="213" spans="2:4">
      <c r="B213"/>
      <c r="C213"/>
      <c r="D213"/>
    </row>
  </sheetData>
  <mergeCells count="7">
    <mergeCell ref="F2:H2"/>
    <mergeCell ref="G8:H8"/>
    <mergeCell ref="A4:H4"/>
    <mergeCell ref="A5:H5"/>
    <mergeCell ref="B7:D7"/>
    <mergeCell ref="E7:H7"/>
    <mergeCell ref="C8:D8"/>
  </mergeCells>
  <phoneticPr fontId="30" type="noConversion"/>
  <pageMargins left="1.45" right="0.31" top="0.5" bottom="0.18" header="0.17" footer="0.17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opLeftCell="A40" zoomScale="130" zoomScaleNormal="130" workbookViewId="0">
      <selection activeCell="Z21" sqref="Z21"/>
    </sheetView>
  </sheetViews>
  <sheetFormatPr defaultRowHeight="12.75"/>
  <cols>
    <col min="1" max="1" width="5.42578125" style="24" customWidth="1"/>
    <col min="2" max="2" width="32" customWidth="1"/>
    <col min="3" max="3" width="8.85546875" customWidth="1"/>
    <col min="4" max="4" width="16.7109375" customWidth="1"/>
    <col min="5" max="5" width="10.7109375" customWidth="1"/>
    <col min="6" max="6" width="13.28515625" customWidth="1"/>
    <col min="7" max="7" width="8.42578125" customWidth="1"/>
    <col min="8" max="8" width="7.5703125" customWidth="1"/>
    <col min="10" max="10" width="1.5703125" customWidth="1"/>
    <col min="11" max="14" width="9.140625" hidden="1" customWidth="1"/>
    <col min="15" max="15" width="1.140625" customWidth="1"/>
    <col min="16" max="17" width="9.140625" hidden="1" customWidth="1"/>
    <col min="19" max="19" width="6.7109375" customWidth="1"/>
    <col min="20" max="22" width="9.140625" hidden="1" customWidth="1"/>
    <col min="24" max="24" width="1.28515625" customWidth="1"/>
    <col min="25" max="25" width="9.140625" hidden="1" customWidth="1"/>
  </cols>
  <sheetData>
    <row r="1" spans="1:7" ht="15.75">
      <c r="A1" s="414" t="s">
        <v>413</v>
      </c>
      <c r="B1" s="414"/>
      <c r="C1" s="414"/>
      <c r="D1" s="414"/>
      <c r="E1" s="414"/>
      <c r="F1" s="414"/>
    </row>
    <row r="2" spans="1:7" ht="13.5" customHeight="1">
      <c r="A2" s="414" t="s">
        <v>659</v>
      </c>
      <c r="B2" s="414"/>
      <c r="C2" s="414"/>
      <c r="D2" s="414"/>
      <c r="E2" s="414"/>
      <c r="F2" s="414"/>
    </row>
    <row r="3" spans="1:7" ht="8.25" customHeight="1">
      <c r="A3" s="38"/>
      <c r="B3" s="36"/>
      <c r="C3" s="39"/>
      <c r="D3" s="39"/>
      <c r="E3" s="39"/>
      <c r="F3" s="39"/>
    </row>
    <row r="4" spans="1:7">
      <c r="A4" s="40" t="s">
        <v>42</v>
      </c>
      <c r="B4" s="41"/>
      <c r="C4" s="42" t="s">
        <v>92</v>
      </c>
      <c r="D4" s="43" t="s">
        <v>313</v>
      </c>
      <c r="E4" s="42" t="s">
        <v>94</v>
      </c>
      <c r="F4" s="78" t="s">
        <v>107</v>
      </c>
    </row>
    <row r="5" spans="1:7">
      <c r="A5" s="45" t="s">
        <v>373</v>
      </c>
      <c r="B5" s="46" t="s">
        <v>308</v>
      </c>
      <c r="C5" s="47" t="s">
        <v>81</v>
      </c>
      <c r="D5" s="48" t="s">
        <v>240</v>
      </c>
      <c r="E5" s="47" t="s">
        <v>95</v>
      </c>
      <c r="F5" s="79" t="s">
        <v>105</v>
      </c>
    </row>
    <row r="6" spans="1:7">
      <c r="A6" s="50"/>
      <c r="B6" s="33"/>
      <c r="C6" s="47"/>
      <c r="D6" s="48" t="s">
        <v>631</v>
      </c>
      <c r="E6" s="47" t="s">
        <v>671</v>
      </c>
      <c r="F6" s="79"/>
    </row>
    <row r="7" spans="1:7" ht="12.75" customHeight="1">
      <c r="A7" s="50"/>
      <c r="B7" s="33"/>
      <c r="C7" s="47"/>
      <c r="D7" s="48" t="s">
        <v>178</v>
      </c>
      <c r="E7" s="51" t="s">
        <v>669</v>
      </c>
      <c r="F7" s="77"/>
    </row>
    <row r="8" spans="1:7" ht="12.75" customHeight="1">
      <c r="A8" s="52"/>
      <c r="B8" s="53"/>
      <c r="C8" s="47"/>
      <c r="D8" s="54"/>
      <c r="E8" s="51" t="s">
        <v>660</v>
      </c>
      <c r="F8" s="51" t="s">
        <v>660</v>
      </c>
    </row>
    <row r="9" spans="1:7" ht="8.25" customHeight="1">
      <c r="A9" s="52"/>
      <c r="B9" s="53"/>
      <c r="C9" s="47"/>
      <c r="D9" s="54"/>
      <c r="E9" s="1"/>
      <c r="F9" s="21"/>
    </row>
    <row r="10" spans="1:7" ht="13.5" customHeight="1">
      <c r="A10" s="40"/>
      <c r="B10" s="43"/>
      <c r="C10" s="56"/>
      <c r="D10" s="57"/>
      <c r="E10" s="43"/>
      <c r="F10" s="44"/>
    </row>
    <row r="11" spans="1:7" s="12" customFormat="1" ht="15">
      <c r="A11" s="58">
        <v>1</v>
      </c>
      <c r="B11" s="59" t="s">
        <v>315</v>
      </c>
      <c r="C11" s="60"/>
      <c r="D11" s="60"/>
      <c r="E11" s="61"/>
      <c r="F11" s="60"/>
      <c r="G11"/>
    </row>
    <row r="12" spans="1:7" s="86" customFormat="1">
      <c r="A12" s="50" t="s">
        <v>427</v>
      </c>
      <c r="B12" s="53" t="s">
        <v>48</v>
      </c>
      <c r="C12" s="49" t="s">
        <v>87</v>
      </c>
      <c r="D12" s="49">
        <v>29.2</v>
      </c>
      <c r="E12" s="62">
        <v>12.76</v>
      </c>
      <c r="F12" s="63">
        <f t="shared" ref="F12:F24" si="0">E12*D12</f>
        <v>372.59199999999998</v>
      </c>
    </row>
    <row r="13" spans="1:7" s="86" customFormat="1">
      <c r="A13" s="50" t="s">
        <v>428</v>
      </c>
      <c r="B13" s="53" t="s">
        <v>49</v>
      </c>
      <c r="C13" s="49" t="s">
        <v>87</v>
      </c>
      <c r="D13" s="49">
        <v>14.6</v>
      </c>
      <c r="E13" s="62">
        <v>12.06</v>
      </c>
      <c r="F13" s="63">
        <f t="shared" si="0"/>
        <v>176.07599999999999</v>
      </c>
    </row>
    <row r="14" spans="1:7" s="86" customFormat="1">
      <c r="A14" s="50" t="s">
        <v>429</v>
      </c>
      <c r="B14" s="53" t="s">
        <v>120</v>
      </c>
      <c r="C14" s="49" t="s">
        <v>87</v>
      </c>
      <c r="D14" s="49">
        <v>4.5999999999999996</v>
      </c>
      <c r="E14" s="62">
        <v>9.15</v>
      </c>
      <c r="F14" s="63">
        <f t="shared" si="0"/>
        <v>42.089999999999996</v>
      </c>
    </row>
    <row r="15" spans="1:7" s="86" customFormat="1">
      <c r="A15" s="50" t="s">
        <v>430</v>
      </c>
      <c r="B15" s="53" t="s">
        <v>50</v>
      </c>
      <c r="C15" s="49" t="s">
        <v>87</v>
      </c>
      <c r="D15" s="49">
        <v>2.9</v>
      </c>
      <c r="E15" s="62">
        <v>15.59</v>
      </c>
      <c r="F15" s="63">
        <f t="shared" si="0"/>
        <v>45.210999999999999</v>
      </c>
    </row>
    <row r="16" spans="1:7" s="86" customFormat="1">
      <c r="A16" s="50" t="s">
        <v>431</v>
      </c>
      <c r="B16" s="53" t="s">
        <v>47</v>
      </c>
      <c r="C16" s="49" t="s">
        <v>87</v>
      </c>
      <c r="D16" s="49">
        <v>1.3</v>
      </c>
      <c r="E16" s="62">
        <v>22.11</v>
      </c>
      <c r="F16" s="63">
        <f t="shared" si="0"/>
        <v>28.742999999999999</v>
      </c>
    </row>
    <row r="17" spans="1:7" s="86" customFormat="1">
      <c r="A17" s="50" t="s">
        <v>432</v>
      </c>
      <c r="B17" s="53" t="s">
        <v>121</v>
      </c>
      <c r="C17" s="49" t="s">
        <v>87</v>
      </c>
      <c r="D17" s="49">
        <v>0.9</v>
      </c>
      <c r="E17" s="62">
        <v>11.38</v>
      </c>
      <c r="F17" s="63">
        <f>E17*D17</f>
        <v>10.242000000000001</v>
      </c>
    </row>
    <row r="18" spans="1:7" s="86" customFormat="1">
      <c r="A18" s="50" t="s">
        <v>433</v>
      </c>
      <c r="B18" s="53" t="s">
        <v>122</v>
      </c>
      <c r="C18" s="49" t="s">
        <v>87</v>
      </c>
      <c r="D18" s="49">
        <v>1.7</v>
      </c>
      <c r="E18" s="62">
        <v>10.130000000000001</v>
      </c>
      <c r="F18" s="63">
        <f t="shared" si="0"/>
        <v>17.221</v>
      </c>
    </row>
    <row r="19" spans="1:7" s="86" customFormat="1">
      <c r="A19" s="50" t="s">
        <v>434</v>
      </c>
      <c r="B19" s="53" t="s">
        <v>123</v>
      </c>
      <c r="C19" s="49" t="s">
        <v>87</v>
      </c>
      <c r="D19" s="49">
        <v>2.4</v>
      </c>
      <c r="E19" s="62">
        <v>34.369999999999997</v>
      </c>
      <c r="F19" s="63">
        <f t="shared" si="0"/>
        <v>82.487999999999985</v>
      </c>
    </row>
    <row r="20" spans="1:7" s="86" customFormat="1">
      <c r="A20" s="50" t="s">
        <v>435</v>
      </c>
      <c r="B20" s="53" t="s">
        <v>124</v>
      </c>
      <c r="C20" s="49" t="s">
        <v>87</v>
      </c>
      <c r="D20" s="49">
        <v>0.7</v>
      </c>
      <c r="E20" s="62">
        <v>23.03</v>
      </c>
      <c r="F20" s="63">
        <f t="shared" si="0"/>
        <v>16.120999999999999</v>
      </c>
    </row>
    <row r="21" spans="1:7" s="86" customFormat="1">
      <c r="A21" s="50" t="s">
        <v>436</v>
      </c>
      <c r="B21" s="53" t="s">
        <v>46</v>
      </c>
      <c r="C21" s="49" t="s">
        <v>87</v>
      </c>
      <c r="D21" s="49">
        <v>0.6</v>
      </c>
      <c r="E21" s="62">
        <v>14.37</v>
      </c>
      <c r="F21" s="63">
        <f t="shared" si="0"/>
        <v>8.6219999999999999</v>
      </c>
    </row>
    <row r="22" spans="1:7" s="86" customFormat="1">
      <c r="A22" s="50" t="s">
        <v>437</v>
      </c>
      <c r="B22" s="53" t="s">
        <v>266</v>
      </c>
      <c r="C22" s="95" t="s">
        <v>87</v>
      </c>
      <c r="D22" s="49">
        <v>4.0999999999999996</v>
      </c>
      <c r="E22" s="62">
        <v>8.75</v>
      </c>
      <c r="F22" s="63">
        <f t="shared" si="0"/>
        <v>35.875</v>
      </c>
      <c r="G22" s="273"/>
    </row>
    <row r="23" spans="1:7" s="12" customFormat="1" ht="14.25">
      <c r="A23" s="58" t="s">
        <v>438</v>
      </c>
      <c r="B23" s="59" t="s">
        <v>267</v>
      </c>
      <c r="C23" s="47" t="s">
        <v>87</v>
      </c>
      <c r="D23" s="49">
        <v>0.7</v>
      </c>
      <c r="E23" s="62">
        <v>30.97</v>
      </c>
      <c r="F23" s="63">
        <f t="shared" si="0"/>
        <v>21.678999999999998</v>
      </c>
      <c r="G23"/>
    </row>
    <row r="24" spans="1:7" s="12" customFormat="1" ht="14.25">
      <c r="A24" s="58" t="s">
        <v>439</v>
      </c>
      <c r="B24" s="59" t="s">
        <v>43</v>
      </c>
      <c r="C24" s="47" t="s">
        <v>87</v>
      </c>
      <c r="D24" s="49">
        <v>73</v>
      </c>
      <c r="E24" s="62">
        <v>4.83</v>
      </c>
      <c r="F24" s="63">
        <f t="shared" si="0"/>
        <v>352.59000000000003</v>
      </c>
      <c r="G24"/>
    </row>
    <row r="25" spans="1:7" ht="15">
      <c r="A25" s="58" t="s">
        <v>440</v>
      </c>
      <c r="B25" s="59" t="s">
        <v>44</v>
      </c>
      <c r="C25" s="60"/>
      <c r="D25" s="49"/>
      <c r="E25" s="62"/>
      <c r="F25" s="49"/>
    </row>
    <row r="26" spans="1:7" s="86" customFormat="1">
      <c r="A26" s="50" t="s">
        <v>441</v>
      </c>
      <c r="B26" s="53" t="s">
        <v>52</v>
      </c>
      <c r="C26" s="49" t="s">
        <v>87</v>
      </c>
      <c r="D26" s="49">
        <v>16.399999999999999</v>
      </c>
      <c r="E26" s="62">
        <v>3.8</v>
      </c>
      <c r="F26" s="63">
        <f t="shared" ref="F26:F32" si="1">E26*D26</f>
        <v>62.319999999999993</v>
      </c>
    </row>
    <row r="27" spans="1:7" s="86" customFormat="1">
      <c r="A27" s="50" t="s">
        <v>442</v>
      </c>
      <c r="B27" s="53" t="s">
        <v>268</v>
      </c>
      <c r="C27" s="49" t="s">
        <v>87</v>
      </c>
      <c r="D27" s="49">
        <v>16.399999999999999</v>
      </c>
      <c r="E27" s="62">
        <v>21.04</v>
      </c>
      <c r="F27" s="63">
        <f t="shared" si="1"/>
        <v>345.05599999999998</v>
      </c>
    </row>
    <row r="28" spans="1:7" s="86" customFormat="1">
      <c r="A28" s="50" t="s">
        <v>443</v>
      </c>
      <c r="B28" s="53" t="s">
        <v>270</v>
      </c>
      <c r="C28" s="49" t="s">
        <v>87</v>
      </c>
      <c r="D28" s="49">
        <v>8.1999999999999993</v>
      </c>
      <c r="E28" s="62">
        <v>4.5</v>
      </c>
      <c r="F28" s="63">
        <f t="shared" si="1"/>
        <v>36.9</v>
      </c>
    </row>
    <row r="29" spans="1:7" s="86" customFormat="1">
      <c r="A29" s="50" t="s">
        <v>444</v>
      </c>
      <c r="B29" s="53" t="s">
        <v>269</v>
      </c>
      <c r="C29" s="49" t="s">
        <v>87</v>
      </c>
      <c r="D29" s="49">
        <v>6.6</v>
      </c>
      <c r="E29" s="62">
        <v>29.84</v>
      </c>
      <c r="F29" s="63">
        <f t="shared" si="1"/>
        <v>196.94399999999999</v>
      </c>
    </row>
    <row r="30" spans="1:7" s="86" customFormat="1">
      <c r="A30" s="50" t="s">
        <v>445</v>
      </c>
      <c r="B30" s="53" t="s">
        <v>414</v>
      </c>
      <c r="C30" s="49" t="s">
        <v>87</v>
      </c>
      <c r="D30" s="49">
        <v>6.6</v>
      </c>
      <c r="E30" s="62">
        <v>3.92</v>
      </c>
      <c r="F30" s="63">
        <f t="shared" si="1"/>
        <v>25.872</v>
      </c>
    </row>
    <row r="31" spans="1:7" s="86" customFormat="1">
      <c r="A31" s="50" t="s">
        <v>446</v>
      </c>
      <c r="B31" s="53" t="s">
        <v>271</v>
      </c>
      <c r="C31" s="49" t="s">
        <v>87</v>
      </c>
      <c r="D31" s="49">
        <v>6.6</v>
      </c>
      <c r="E31" s="62">
        <v>4.49</v>
      </c>
      <c r="F31" s="63">
        <f t="shared" si="1"/>
        <v>29.634</v>
      </c>
    </row>
    <row r="32" spans="1:7" s="86" customFormat="1">
      <c r="A32" s="50" t="s">
        <v>447</v>
      </c>
      <c r="B32" s="53" t="s">
        <v>272</v>
      </c>
      <c r="C32" s="95" t="s">
        <v>87</v>
      </c>
      <c r="D32" s="49">
        <v>21.3</v>
      </c>
      <c r="E32" s="305">
        <f>E26*0.224+E27*0.224+(E28+E30)/2*0.165+E29*0.174+E31*0.155+4.86*0.058</f>
        <v>12.428799999999997</v>
      </c>
      <c r="F32" s="63">
        <f t="shared" si="1"/>
        <v>264.73343999999997</v>
      </c>
    </row>
    <row r="33" spans="1:6" ht="15">
      <c r="A33" s="58" t="s">
        <v>448</v>
      </c>
      <c r="B33" s="59" t="s">
        <v>541</v>
      </c>
      <c r="C33" s="60"/>
      <c r="D33" s="49"/>
      <c r="E33" s="305"/>
      <c r="F33" s="63"/>
    </row>
    <row r="34" spans="1:6" s="86" customFormat="1">
      <c r="A34" s="64" t="s">
        <v>449</v>
      </c>
      <c r="B34" s="65" t="s">
        <v>273</v>
      </c>
      <c r="C34" s="49" t="s">
        <v>87</v>
      </c>
      <c r="D34" s="49">
        <v>27.4</v>
      </c>
      <c r="E34" s="305">
        <v>11.21</v>
      </c>
      <c r="F34" s="63">
        <f t="shared" ref="F34:F47" si="2">E34*D34</f>
        <v>307.154</v>
      </c>
    </row>
    <row r="35" spans="1:6" s="86" customFormat="1">
      <c r="A35" s="299" t="s">
        <v>450</v>
      </c>
      <c r="B35" s="65" t="s">
        <v>274</v>
      </c>
      <c r="C35" s="95" t="s">
        <v>87</v>
      </c>
      <c r="D35" s="49">
        <v>8.1999999999999993</v>
      </c>
      <c r="E35" s="305">
        <f>11.21*0.692+46.72*0.308</f>
        <v>22.147079999999999</v>
      </c>
      <c r="F35" s="63">
        <f t="shared" si="2"/>
        <v>181.60605599999997</v>
      </c>
    </row>
    <row r="36" spans="1:6" s="86" customFormat="1">
      <c r="A36" s="64" t="s">
        <v>451</v>
      </c>
      <c r="B36" s="53" t="s">
        <v>415</v>
      </c>
      <c r="C36" s="49" t="s">
        <v>87</v>
      </c>
      <c r="D36" s="49">
        <v>5.5</v>
      </c>
      <c r="E36" s="62">
        <v>31.89</v>
      </c>
      <c r="F36" s="63">
        <f t="shared" si="2"/>
        <v>175.39500000000001</v>
      </c>
    </row>
    <row r="37" spans="1:6" s="86" customFormat="1">
      <c r="A37" s="64" t="s">
        <v>452</v>
      </c>
      <c r="B37" s="53" t="s">
        <v>275</v>
      </c>
      <c r="C37" s="49" t="s">
        <v>87</v>
      </c>
      <c r="D37" s="49">
        <v>5.5</v>
      </c>
      <c r="E37" s="62">
        <v>11.21</v>
      </c>
      <c r="F37" s="63">
        <f t="shared" si="2"/>
        <v>61.655000000000001</v>
      </c>
    </row>
    <row r="38" spans="1:6" s="86" customFormat="1">
      <c r="A38" s="64" t="s">
        <v>453</v>
      </c>
      <c r="B38" s="53" t="s">
        <v>276</v>
      </c>
      <c r="C38" s="49" t="s">
        <v>87</v>
      </c>
      <c r="D38" s="49">
        <v>2.7</v>
      </c>
      <c r="E38" s="62">
        <v>23.02</v>
      </c>
      <c r="F38" s="63">
        <f t="shared" si="2"/>
        <v>62.154000000000003</v>
      </c>
    </row>
    <row r="39" spans="1:6" s="86" customFormat="1">
      <c r="A39" s="299" t="s">
        <v>454</v>
      </c>
      <c r="B39" s="296" t="s">
        <v>277</v>
      </c>
      <c r="C39" s="95" t="s">
        <v>87</v>
      </c>
      <c r="D39" s="49">
        <v>5.5</v>
      </c>
      <c r="E39" s="62">
        <v>11.21</v>
      </c>
      <c r="F39" s="63">
        <f t="shared" si="2"/>
        <v>61.655000000000001</v>
      </c>
    </row>
    <row r="40" spans="1:6" ht="14.25">
      <c r="A40" s="58" t="s">
        <v>455</v>
      </c>
      <c r="B40" s="59" t="s">
        <v>325</v>
      </c>
      <c r="C40" s="47" t="s">
        <v>278</v>
      </c>
      <c r="D40" s="49">
        <v>45.6</v>
      </c>
      <c r="E40" s="62">
        <v>18.95</v>
      </c>
      <c r="F40" s="63">
        <f t="shared" si="2"/>
        <v>864.12</v>
      </c>
    </row>
    <row r="41" spans="1:6" ht="14.25">
      <c r="A41" s="66" t="s">
        <v>456</v>
      </c>
      <c r="B41" s="59" t="s">
        <v>54</v>
      </c>
      <c r="C41" s="47" t="s">
        <v>87</v>
      </c>
      <c r="D41" s="49">
        <v>3.65</v>
      </c>
      <c r="E41" s="62">
        <v>110.06</v>
      </c>
      <c r="F41" s="63">
        <f t="shared" si="2"/>
        <v>401.71899999999999</v>
      </c>
    </row>
    <row r="42" spans="1:6" ht="14.25">
      <c r="A42" s="58" t="s">
        <v>461</v>
      </c>
      <c r="B42" s="59" t="s">
        <v>286</v>
      </c>
      <c r="C42" s="47" t="s">
        <v>87</v>
      </c>
      <c r="D42" s="49">
        <v>18.25</v>
      </c>
      <c r="E42" s="62">
        <v>17.78</v>
      </c>
      <c r="F42" s="63">
        <f t="shared" si="2"/>
        <v>324.48500000000001</v>
      </c>
    </row>
    <row r="43" spans="1:6" ht="14.25">
      <c r="A43" s="58" t="s">
        <v>468</v>
      </c>
      <c r="B43" s="59" t="s">
        <v>288</v>
      </c>
      <c r="C43" s="47" t="s">
        <v>87</v>
      </c>
      <c r="D43" s="49">
        <v>1.1000000000000001</v>
      </c>
      <c r="E43" s="62">
        <v>98.65</v>
      </c>
      <c r="F43" s="63">
        <f t="shared" si="2"/>
        <v>108.51500000000001</v>
      </c>
    </row>
    <row r="44" spans="1:6" ht="14.25">
      <c r="A44" s="58" t="s">
        <v>469</v>
      </c>
      <c r="B44" s="59" t="s">
        <v>287</v>
      </c>
      <c r="C44" s="213" t="s">
        <v>87</v>
      </c>
      <c r="D44" s="49">
        <v>5.5</v>
      </c>
      <c r="E44" s="62">
        <f>41.15*0.792+53.03*0.208</f>
        <v>43.621040000000001</v>
      </c>
      <c r="F44" s="63">
        <f t="shared" si="2"/>
        <v>239.91571999999999</v>
      </c>
    </row>
    <row r="45" spans="1:6" ht="14.25">
      <c r="A45" s="58" t="s">
        <v>472</v>
      </c>
      <c r="B45" s="59" t="s">
        <v>60</v>
      </c>
      <c r="C45" s="47" t="s">
        <v>87</v>
      </c>
      <c r="D45" s="49">
        <v>7.7</v>
      </c>
      <c r="E45" s="62">
        <v>134.44999999999999</v>
      </c>
      <c r="F45" s="63">
        <f t="shared" si="2"/>
        <v>1035.2649999999999</v>
      </c>
    </row>
    <row r="46" spans="1:6" ht="14.25">
      <c r="A46" s="58" t="s">
        <v>473</v>
      </c>
      <c r="B46" s="59" t="s">
        <v>68</v>
      </c>
      <c r="C46" s="47" t="s">
        <v>87</v>
      </c>
      <c r="D46" s="67">
        <v>3</v>
      </c>
      <c r="E46" s="62">
        <v>32.92</v>
      </c>
      <c r="F46" s="63">
        <f t="shared" si="2"/>
        <v>98.76</v>
      </c>
    </row>
    <row r="47" spans="1:6" ht="14.25">
      <c r="A47" s="58" t="s">
        <v>474</v>
      </c>
      <c r="B47" s="59" t="s">
        <v>352</v>
      </c>
      <c r="C47" s="47" t="s">
        <v>88</v>
      </c>
      <c r="D47" s="49">
        <v>182.5</v>
      </c>
      <c r="E47" s="68">
        <f>22.13/10</f>
        <v>2.2130000000000001</v>
      </c>
      <c r="F47" s="63">
        <f t="shared" si="2"/>
        <v>403.8725</v>
      </c>
    </row>
    <row r="48" spans="1:6" ht="17.25" customHeight="1">
      <c r="A48" s="58" t="s">
        <v>475</v>
      </c>
      <c r="B48" s="59" t="s">
        <v>542</v>
      </c>
      <c r="C48" s="60"/>
      <c r="D48" s="49"/>
      <c r="E48" s="62"/>
      <c r="F48" s="63"/>
    </row>
    <row r="49" spans="1:6" s="86" customFormat="1">
      <c r="A49" s="50" t="s">
        <v>545</v>
      </c>
      <c r="B49" s="53" t="s">
        <v>59</v>
      </c>
      <c r="C49" s="49" t="s">
        <v>87</v>
      </c>
      <c r="D49" s="49">
        <v>91.3</v>
      </c>
      <c r="E49" s="62">
        <v>15.41</v>
      </c>
      <c r="F49" s="63">
        <f>E49*D49</f>
        <v>1406.933</v>
      </c>
    </row>
    <row r="50" spans="1:6" s="86" customFormat="1">
      <c r="A50" s="50" t="s">
        <v>546</v>
      </c>
      <c r="B50" s="53" t="s">
        <v>284</v>
      </c>
      <c r="C50" s="49" t="s">
        <v>87</v>
      </c>
      <c r="D50" s="49">
        <v>91.3</v>
      </c>
      <c r="E50" s="62">
        <v>18.22</v>
      </c>
      <c r="F50" s="63">
        <f>E50*D50</f>
        <v>1663.4859999999999</v>
      </c>
    </row>
    <row r="51" spans="1:6" s="86" customFormat="1">
      <c r="A51" s="50" t="s">
        <v>547</v>
      </c>
      <c r="B51" s="53" t="s">
        <v>61</v>
      </c>
      <c r="C51" s="49" t="s">
        <v>87</v>
      </c>
      <c r="D51" s="49">
        <v>18.25</v>
      </c>
      <c r="E51" s="62">
        <v>71.39</v>
      </c>
      <c r="F51" s="63">
        <f>E51*D51</f>
        <v>1302.8675000000001</v>
      </c>
    </row>
    <row r="52" spans="1:6" s="86" customFormat="1">
      <c r="A52" s="50" t="s">
        <v>548</v>
      </c>
      <c r="B52" s="53" t="s">
        <v>62</v>
      </c>
      <c r="C52" s="49" t="s">
        <v>87</v>
      </c>
      <c r="D52" s="49">
        <v>2.7</v>
      </c>
      <c r="E52" s="62">
        <v>42.59</v>
      </c>
      <c r="F52" s="63">
        <f>E52*D52</f>
        <v>114.99300000000002</v>
      </c>
    </row>
    <row r="53" spans="1:6" s="86" customFormat="1">
      <c r="A53" s="50" t="s">
        <v>549</v>
      </c>
      <c r="B53" s="53" t="s">
        <v>63</v>
      </c>
      <c r="C53" s="49" t="s">
        <v>87</v>
      </c>
      <c r="D53" s="49">
        <v>1.8</v>
      </c>
      <c r="E53" s="62">
        <v>130.97</v>
      </c>
      <c r="F53" s="63">
        <f>E53*D53</f>
        <v>235.74600000000001</v>
      </c>
    </row>
    <row r="54" spans="1:6" ht="15">
      <c r="A54" s="58" t="s">
        <v>476</v>
      </c>
      <c r="B54" s="59" t="s">
        <v>543</v>
      </c>
      <c r="C54" s="60"/>
      <c r="D54" s="49"/>
      <c r="E54" s="62"/>
      <c r="F54" s="63"/>
    </row>
    <row r="55" spans="1:6" s="86" customFormat="1">
      <c r="A55" s="50" t="s">
        <v>550</v>
      </c>
      <c r="B55" s="53" t="s">
        <v>279</v>
      </c>
      <c r="C55" s="95" t="s">
        <v>87</v>
      </c>
      <c r="D55" s="49">
        <v>11.7</v>
      </c>
      <c r="E55" s="62">
        <f>84.49*0.964+80.15*0.036</f>
        <v>84.333759999999998</v>
      </c>
      <c r="F55" s="63">
        <f t="shared" ref="F55:F62" si="3">E55*D55</f>
        <v>986.70499199999995</v>
      </c>
    </row>
    <row r="56" spans="1:6" s="86" customFormat="1">
      <c r="A56" s="50" t="s">
        <v>551</v>
      </c>
      <c r="B56" s="53" t="s">
        <v>280</v>
      </c>
      <c r="C56" s="49" t="s">
        <v>87</v>
      </c>
      <c r="D56" s="49">
        <v>5.8</v>
      </c>
      <c r="E56" s="62">
        <v>75.709999999999994</v>
      </c>
      <c r="F56" s="63">
        <f t="shared" si="3"/>
        <v>439.11799999999994</v>
      </c>
    </row>
    <row r="57" spans="1:6" s="86" customFormat="1">
      <c r="A57" s="50" t="s">
        <v>552</v>
      </c>
      <c r="B57" s="53" t="s">
        <v>544</v>
      </c>
      <c r="C57" s="95" t="s">
        <v>87</v>
      </c>
      <c r="D57" s="49">
        <v>5.8</v>
      </c>
      <c r="E57" s="62">
        <f>41.88*0.912+98.35*0.088</f>
        <v>46.849360000000004</v>
      </c>
      <c r="F57" s="63">
        <f t="shared" si="3"/>
        <v>271.72628800000001</v>
      </c>
    </row>
    <row r="58" spans="1:6" s="86" customFormat="1">
      <c r="A58" s="50" t="s">
        <v>553</v>
      </c>
      <c r="B58" s="53" t="s">
        <v>283</v>
      </c>
      <c r="C58" s="49" t="s">
        <v>87</v>
      </c>
      <c r="D58" s="49">
        <v>5.9</v>
      </c>
      <c r="E58" s="62">
        <f>77.55*0.166+43.53*0.37+46.81*0.464</f>
        <v>50.699240000000003</v>
      </c>
      <c r="F58" s="63">
        <f t="shared" si="3"/>
        <v>299.12551600000006</v>
      </c>
    </row>
    <row r="59" spans="1:6" s="86" customFormat="1">
      <c r="A59" s="50" t="s">
        <v>554</v>
      </c>
      <c r="B59" s="53" t="s">
        <v>281</v>
      </c>
      <c r="C59" s="95" t="s">
        <v>87</v>
      </c>
      <c r="D59" s="49">
        <v>4</v>
      </c>
      <c r="E59" s="62">
        <f>81.15*0.482+76.88*0.518</f>
        <v>78.938140000000004</v>
      </c>
      <c r="F59" s="63">
        <f t="shared" si="3"/>
        <v>315.75256000000002</v>
      </c>
    </row>
    <row r="60" spans="1:6" s="86" customFormat="1">
      <c r="A60" s="50" t="s">
        <v>555</v>
      </c>
      <c r="B60" s="53" t="s">
        <v>416</v>
      </c>
      <c r="C60" s="49" t="s">
        <v>87</v>
      </c>
      <c r="D60" s="49">
        <v>1.3</v>
      </c>
      <c r="E60" s="62">
        <v>113.95</v>
      </c>
      <c r="F60" s="63">
        <f t="shared" si="3"/>
        <v>148.13500000000002</v>
      </c>
    </row>
    <row r="61" spans="1:6" s="86" customFormat="1" ht="12.75" customHeight="1">
      <c r="A61" s="50" t="s">
        <v>556</v>
      </c>
      <c r="B61" s="53" t="s">
        <v>282</v>
      </c>
      <c r="C61" s="49" t="s">
        <v>87</v>
      </c>
      <c r="D61" s="67">
        <v>1</v>
      </c>
      <c r="E61" s="62">
        <v>120.7</v>
      </c>
      <c r="F61" s="63">
        <f t="shared" si="3"/>
        <v>120.7</v>
      </c>
    </row>
    <row r="62" spans="1:6" s="86" customFormat="1">
      <c r="A62" s="50" t="s">
        <v>557</v>
      </c>
      <c r="B62" s="53" t="s">
        <v>58</v>
      </c>
      <c r="C62" s="49" t="s">
        <v>87</v>
      </c>
      <c r="D62" s="67">
        <v>1</v>
      </c>
      <c r="E62" s="62">
        <v>42.32</v>
      </c>
      <c r="F62" s="63">
        <f t="shared" si="3"/>
        <v>42.32</v>
      </c>
    </row>
    <row r="63" spans="1:6" ht="15">
      <c r="A63" s="58" t="s">
        <v>477</v>
      </c>
      <c r="B63" s="59" t="s">
        <v>563</v>
      </c>
      <c r="C63" s="60"/>
      <c r="D63" s="49"/>
      <c r="E63" s="62"/>
      <c r="F63" s="63"/>
    </row>
    <row r="64" spans="1:6" s="86" customFormat="1">
      <c r="A64" s="50" t="s">
        <v>558</v>
      </c>
      <c r="B64" s="53" t="s">
        <v>285</v>
      </c>
      <c r="C64" s="95" t="s">
        <v>87</v>
      </c>
      <c r="D64" s="49">
        <v>8.6</v>
      </c>
      <c r="E64" s="62">
        <f>41.19*0.388+64.74*0.612</f>
        <v>55.602599999999995</v>
      </c>
      <c r="F64" s="63">
        <f t="shared" ref="F64:F70" si="4">E64*D64</f>
        <v>478.18235999999996</v>
      </c>
    </row>
    <row r="65" spans="1:6" s="86" customFormat="1">
      <c r="A65" s="50" t="s">
        <v>559</v>
      </c>
      <c r="B65" s="33" t="s">
        <v>223</v>
      </c>
      <c r="C65" s="95" t="s">
        <v>87</v>
      </c>
      <c r="D65" s="49">
        <v>4.2</v>
      </c>
      <c r="E65" s="62">
        <f>41.19*0.312+64.74*0.492+60.82*0.196</f>
        <v>56.624079999999999</v>
      </c>
      <c r="F65" s="63">
        <f t="shared" si="4"/>
        <v>237.821136</v>
      </c>
    </row>
    <row r="66" spans="1:6" ht="14.25">
      <c r="A66" s="58" t="s">
        <v>478</v>
      </c>
      <c r="B66" s="111" t="s">
        <v>70</v>
      </c>
      <c r="C66" s="47" t="s">
        <v>87</v>
      </c>
      <c r="D66" s="49">
        <v>7.2999999999999995E-2</v>
      </c>
      <c r="E66" s="62">
        <v>339.90000000000003</v>
      </c>
      <c r="F66" s="63">
        <f t="shared" si="4"/>
        <v>24.8127</v>
      </c>
    </row>
    <row r="67" spans="1:6" ht="14.25">
      <c r="A67" s="58" t="s">
        <v>479</v>
      </c>
      <c r="B67" s="59" t="s">
        <v>289</v>
      </c>
      <c r="C67" s="47" t="s">
        <v>87</v>
      </c>
      <c r="D67" s="49">
        <v>0.36499999999999999</v>
      </c>
      <c r="E67" s="62">
        <v>203.2</v>
      </c>
      <c r="F67" s="63">
        <f t="shared" si="4"/>
        <v>74.167999999999992</v>
      </c>
    </row>
    <row r="68" spans="1:6" ht="14.25">
      <c r="A68" s="58" t="s">
        <v>480</v>
      </c>
      <c r="B68" s="59" t="s">
        <v>290</v>
      </c>
      <c r="C68" s="47" t="s">
        <v>87</v>
      </c>
      <c r="D68" s="49">
        <v>0.36499999999999999</v>
      </c>
      <c r="E68" s="62">
        <v>24.49</v>
      </c>
      <c r="F68" s="63">
        <f t="shared" si="4"/>
        <v>8.9388499999999986</v>
      </c>
    </row>
    <row r="69" spans="1:6" ht="14.25">
      <c r="A69" s="58" t="s">
        <v>560</v>
      </c>
      <c r="B69" s="59" t="s">
        <v>69</v>
      </c>
      <c r="C69" s="47" t="s">
        <v>87</v>
      </c>
      <c r="D69" s="49">
        <v>1.8</v>
      </c>
      <c r="E69" s="62">
        <v>4.55</v>
      </c>
      <c r="F69" s="63">
        <f t="shared" si="4"/>
        <v>8.19</v>
      </c>
    </row>
    <row r="70" spans="1:6" ht="14.25">
      <c r="A70" s="58" t="s">
        <v>561</v>
      </c>
      <c r="B70" s="59" t="s">
        <v>291</v>
      </c>
      <c r="C70" s="47" t="s">
        <v>87</v>
      </c>
      <c r="D70" s="49">
        <v>7.2999999999999995E-2</v>
      </c>
      <c r="E70" s="62">
        <v>370.5</v>
      </c>
      <c r="F70" s="63">
        <f t="shared" si="4"/>
        <v>27.046499999999998</v>
      </c>
    </row>
    <row r="71" spans="1:6" ht="15.75">
      <c r="A71" s="70" t="s">
        <v>374</v>
      </c>
      <c r="B71" s="71"/>
      <c r="C71" s="41"/>
      <c r="D71" s="41"/>
      <c r="E71" s="290"/>
      <c r="F71" s="72">
        <f>SUM(F12:F70)</f>
        <v>14704.048118000004</v>
      </c>
    </row>
    <row r="72" spans="1:6" ht="15.75">
      <c r="A72" s="73" t="s">
        <v>375</v>
      </c>
      <c r="B72" s="74"/>
      <c r="C72" s="75"/>
      <c r="D72" s="75"/>
      <c r="E72" s="75"/>
      <c r="F72" s="76">
        <f>F71/12</f>
        <v>1225.3373431666671</v>
      </c>
    </row>
    <row r="74" spans="1:6">
      <c r="A74"/>
    </row>
    <row r="75" spans="1:6">
      <c r="A75"/>
    </row>
    <row r="76" spans="1:6">
      <c r="A76"/>
    </row>
    <row r="77" spans="1:6">
      <c r="A77"/>
    </row>
    <row r="78" spans="1:6">
      <c r="A78"/>
    </row>
    <row r="79" spans="1:6">
      <c r="A79"/>
    </row>
    <row r="80" spans="1:6">
      <c r="A80"/>
    </row>
    <row r="81" spans="1:1">
      <c r="A81"/>
    </row>
  </sheetData>
  <mergeCells count="2">
    <mergeCell ref="A1:F1"/>
    <mergeCell ref="A2:F2"/>
  </mergeCells>
  <phoneticPr fontId="30" type="noConversion"/>
  <printOptions horizontalCentered="1"/>
  <pageMargins left="0.47244094488188981" right="0.19685039370078741" top="0.11811023622047245" bottom="0.23622047244094491" header="0.86614173228346458" footer="0.82677165354330717"/>
  <pageSetup paperSize="9" scale="88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opLeftCell="A11" zoomScale="75" workbookViewId="0">
      <selection activeCell="E12" sqref="E12:E69"/>
    </sheetView>
  </sheetViews>
  <sheetFormatPr defaultRowHeight="12.75"/>
  <cols>
    <col min="1" max="1" width="5.28515625" customWidth="1"/>
    <col min="2" max="2" width="28.42578125" customWidth="1"/>
    <col min="3" max="3" width="8.85546875" customWidth="1"/>
    <col min="4" max="4" width="16.85546875" customWidth="1"/>
    <col min="5" max="5" width="12.42578125" customWidth="1"/>
    <col min="6" max="6" width="11.28515625" customWidth="1"/>
  </cols>
  <sheetData>
    <row r="1" spans="1:6" ht="15.75">
      <c r="A1" s="402" t="s">
        <v>417</v>
      </c>
      <c r="B1" s="402"/>
      <c r="C1" s="402"/>
      <c r="D1" s="402"/>
      <c r="E1" s="402"/>
      <c r="F1" s="402"/>
    </row>
    <row r="2" spans="1:6" ht="15.75">
      <c r="A2" s="402" t="s">
        <v>323</v>
      </c>
      <c r="B2" s="402"/>
      <c r="C2" s="402"/>
      <c r="D2" s="402"/>
      <c r="E2" s="402"/>
      <c r="F2" s="402"/>
    </row>
    <row r="3" spans="1:6" ht="15.75">
      <c r="A3" s="88"/>
      <c r="B3" s="89"/>
      <c r="C3" s="90"/>
      <c r="D3" s="91"/>
      <c r="E3" s="90"/>
      <c r="F3" s="32"/>
    </row>
    <row r="4" spans="1:6">
      <c r="A4" s="82" t="s">
        <v>42</v>
      </c>
      <c r="B4" s="224"/>
      <c r="C4" s="82" t="s">
        <v>92</v>
      </c>
      <c r="D4" s="83" t="s">
        <v>238</v>
      </c>
      <c r="E4" s="82" t="s">
        <v>184</v>
      </c>
      <c r="F4" s="82" t="s">
        <v>107</v>
      </c>
    </row>
    <row r="5" spans="1:6">
      <c r="A5" s="80" t="s">
        <v>373</v>
      </c>
      <c r="B5" s="84" t="s">
        <v>99</v>
      </c>
      <c r="C5" s="80" t="s">
        <v>81</v>
      </c>
      <c r="D5" s="243" t="s">
        <v>240</v>
      </c>
      <c r="E5" s="80" t="s">
        <v>239</v>
      </c>
      <c r="F5" s="80" t="s">
        <v>105</v>
      </c>
    </row>
    <row r="6" spans="1:6">
      <c r="A6" s="275"/>
      <c r="B6" s="224" t="s">
        <v>304</v>
      </c>
      <c r="C6" s="80"/>
      <c r="D6" s="243" t="s">
        <v>631</v>
      </c>
      <c r="E6" s="80" t="s">
        <v>95</v>
      </c>
      <c r="F6" s="80"/>
    </row>
    <row r="7" spans="1:6">
      <c r="A7" s="275"/>
      <c r="B7" s="226"/>
      <c r="C7" s="80"/>
      <c r="D7" s="243" t="s">
        <v>178</v>
      </c>
      <c r="E7" s="80" t="s">
        <v>671</v>
      </c>
      <c r="F7" s="80"/>
    </row>
    <row r="8" spans="1:6" ht="14.25" customHeight="1">
      <c r="A8" s="275"/>
      <c r="B8" s="227"/>
      <c r="C8" s="80"/>
      <c r="D8" s="243"/>
      <c r="E8" s="80" t="s">
        <v>669</v>
      </c>
      <c r="F8" s="80"/>
    </row>
    <row r="9" spans="1:6">
      <c r="A9" s="275"/>
      <c r="B9" s="227"/>
      <c r="C9" s="80"/>
      <c r="D9" s="243"/>
      <c r="E9" s="276" t="s">
        <v>660</v>
      </c>
      <c r="F9" s="124" t="s">
        <v>660</v>
      </c>
    </row>
    <row r="10" spans="1:6">
      <c r="A10" s="44"/>
      <c r="B10" s="43"/>
      <c r="C10" s="56"/>
      <c r="D10" s="57"/>
      <c r="E10" s="44"/>
      <c r="F10" s="44"/>
    </row>
    <row r="11" spans="1:6" ht="14.25">
      <c r="A11" s="58">
        <v>1</v>
      </c>
      <c r="B11" s="94" t="s">
        <v>324</v>
      </c>
      <c r="C11" s="54" t="s">
        <v>87</v>
      </c>
      <c r="D11" s="49"/>
      <c r="E11" s="54"/>
      <c r="F11" s="49"/>
    </row>
    <row r="12" spans="1:6">
      <c r="A12" s="50" t="s">
        <v>427</v>
      </c>
      <c r="B12" s="55" t="s">
        <v>48</v>
      </c>
      <c r="C12" s="54" t="s">
        <v>87</v>
      </c>
      <c r="D12" s="49">
        <v>51.1</v>
      </c>
      <c r="E12" s="62">
        <v>12.76</v>
      </c>
      <c r="F12" s="63">
        <f t="shared" ref="F12:F24" si="0">E12*D12</f>
        <v>652.03600000000006</v>
      </c>
    </row>
    <row r="13" spans="1:6">
      <c r="A13" s="50" t="s">
        <v>428</v>
      </c>
      <c r="B13" s="55" t="s">
        <v>49</v>
      </c>
      <c r="C13" s="54" t="s">
        <v>87</v>
      </c>
      <c r="D13" s="49">
        <v>28</v>
      </c>
      <c r="E13" s="62">
        <v>12.06</v>
      </c>
      <c r="F13" s="63">
        <f t="shared" si="0"/>
        <v>337.68</v>
      </c>
    </row>
    <row r="14" spans="1:6">
      <c r="A14" s="50" t="s">
        <v>429</v>
      </c>
      <c r="B14" s="55" t="s">
        <v>120</v>
      </c>
      <c r="C14" s="54" t="s">
        <v>87</v>
      </c>
      <c r="D14" s="49">
        <v>7.9</v>
      </c>
      <c r="E14" s="62">
        <v>9.15</v>
      </c>
      <c r="F14" s="63">
        <f t="shared" si="0"/>
        <v>72.285000000000011</v>
      </c>
    </row>
    <row r="15" spans="1:6">
      <c r="A15" s="50" t="s">
        <v>430</v>
      </c>
      <c r="B15" s="55" t="s">
        <v>50</v>
      </c>
      <c r="C15" s="54" t="s">
        <v>87</v>
      </c>
      <c r="D15" s="49">
        <v>4</v>
      </c>
      <c r="E15" s="62">
        <v>15.59</v>
      </c>
      <c r="F15" s="63">
        <f t="shared" si="0"/>
        <v>62.36</v>
      </c>
    </row>
    <row r="16" spans="1:6">
      <c r="A16" s="50" t="s">
        <v>431</v>
      </c>
      <c r="B16" s="55" t="s">
        <v>47</v>
      </c>
      <c r="C16" s="54" t="s">
        <v>87</v>
      </c>
      <c r="D16" s="49">
        <v>1.8</v>
      </c>
      <c r="E16" s="62">
        <v>22.11</v>
      </c>
      <c r="F16" s="63">
        <f t="shared" si="0"/>
        <v>39.798000000000002</v>
      </c>
    </row>
    <row r="17" spans="1:6">
      <c r="A17" s="50" t="s">
        <v>432</v>
      </c>
      <c r="B17" s="55" t="s">
        <v>121</v>
      </c>
      <c r="C17" s="54" t="s">
        <v>87</v>
      </c>
      <c r="D17" s="49">
        <v>1.2</v>
      </c>
      <c r="E17" s="62">
        <v>11.38</v>
      </c>
      <c r="F17" s="63">
        <f t="shared" si="0"/>
        <v>13.656000000000001</v>
      </c>
    </row>
    <row r="18" spans="1:6">
      <c r="A18" s="50" t="s">
        <v>433</v>
      </c>
      <c r="B18" s="55" t="s">
        <v>122</v>
      </c>
      <c r="C18" s="54" t="s">
        <v>87</v>
      </c>
      <c r="D18" s="49">
        <v>2.2999999999999998</v>
      </c>
      <c r="E18" s="62">
        <v>10.130000000000001</v>
      </c>
      <c r="F18" s="63">
        <f t="shared" si="0"/>
        <v>23.298999999999999</v>
      </c>
    </row>
    <row r="19" spans="1:6">
      <c r="A19" s="50" t="s">
        <v>434</v>
      </c>
      <c r="B19" s="55" t="s">
        <v>123</v>
      </c>
      <c r="C19" s="54" t="s">
        <v>87</v>
      </c>
      <c r="D19" s="49">
        <v>3.4</v>
      </c>
      <c r="E19" s="62">
        <v>34.369999999999997</v>
      </c>
      <c r="F19" s="63">
        <f t="shared" si="0"/>
        <v>116.85799999999999</v>
      </c>
    </row>
    <row r="20" spans="1:6">
      <c r="A20" s="50" t="s">
        <v>435</v>
      </c>
      <c r="B20" s="55" t="s">
        <v>124</v>
      </c>
      <c r="C20" s="54" t="s">
        <v>87</v>
      </c>
      <c r="D20" s="49">
        <v>0.9</v>
      </c>
      <c r="E20" s="62">
        <v>23.03</v>
      </c>
      <c r="F20" s="63">
        <f t="shared" si="0"/>
        <v>20.727</v>
      </c>
    </row>
    <row r="21" spans="1:6">
      <c r="A21" s="50" t="s">
        <v>436</v>
      </c>
      <c r="B21" s="55" t="s">
        <v>46</v>
      </c>
      <c r="C21" s="54" t="s">
        <v>87</v>
      </c>
      <c r="D21" s="49">
        <v>0.8</v>
      </c>
      <c r="E21" s="62">
        <v>14.37</v>
      </c>
      <c r="F21" s="63">
        <f t="shared" si="0"/>
        <v>11.496</v>
      </c>
    </row>
    <row r="22" spans="1:6">
      <c r="A22" s="50" t="s">
        <v>437</v>
      </c>
      <c r="B22" s="55" t="s">
        <v>266</v>
      </c>
      <c r="C22" s="298" t="s">
        <v>87</v>
      </c>
      <c r="D22" s="49">
        <v>5.7</v>
      </c>
      <c r="E22" s="62">
        <v>8.75</v>
      </c>
      <c r="F22" s="137">
        <f t="shared" si="0"/>
        <v>49.875</v>
      </c>
    </row>
    <row r="23" spans="1:6" ht="14.25">
      <c r="A23" s="58" t="s">
        <v>438</v>
      </c>
      <c r="B23" s="94" t="s">
        <v>267</v>
      </c>
      <c r="C23" s="54" t="s">
        <v>87</v>
      </c>
      <c r="D23" s="49">
        <v>1.1000000000000001</v>
      </c>
      <c r="E23" s="62">
        <v>30.97</v>
      </c>
      <c r="F23" s="63">
        <f t="shared" si="0"/>
        <v>34.067</v>
      </c>
    </row>
    <row r="24" spans="1:6" ht="14.25">
      <c r="A24" s="58" t="s">
        <v>439</v>
      </c>
      <c r="B24" s="94" t="s">
        <v>43</v>
      </c>
      <c r="C24" s="54" t="s">
        <v>87</v>
      </c>
      <c r="D24" s="49">
        <v>93.7</v>
      </c>
      <c r="E24" s="62">
        <v>4.83</v>
      </c>
      <c r="F24" s="63">
        <f t="shared" si="0"/>
        <v>452.57100000000003</v>
      </c>
    </row>
    <row r="25" spans="1:6" ht="14.25">
      <c r="A25" s="58" t="s">
        <v>440</v>
      </c>
      <c r="B25" s="94" t="s">
        <v>44</v>
      </c>
      <c r="C25" s="54"/>
      <c r="D25" s="49"/>
      <c r="E25" s="62"/>
      <c r="F25" s="63"/>
    </row>
    <row r="26" spans="1:6">
      <c r="A26" s="50" t="s">
        <v>441</v>
      </c>
      <c r="B26" s="55" t="s">
        <v>52</v>
      </c>
      <c r="C26" s="54" t="s">
        <v>87</v>
      </c>
      <c r="D26" s="49">
        <v>21.9</v>
      </c>
      <c r="E26" s="62">
        <v>3.8</v>
      </c>
      <c r="F26" s="63">
        <f t="shared" ref="F26:F32" si="1">E26*D26</f>
        <v>83.219999999999985</v>
      </c>
    </row>
    <row r="27" spans="1:6">
      <c r="A27" s="50" t="s">
        <v>442</v>
      </c>
      <c r="B27" s="55" t="s">
        <v>268</v>
      </c>
      <c r="C27" s="54" t="s">
        <v>87</v>
      </c>
      <c r="D27" s="49">
        <v>21.9</v>
      </c>
      <c r="E27" s="62">
        <v>21.04</v>
      </c>
      <c r="F27" s="63">
        <f t="shared" si="1"/>
        <v>460.77599999999995</v>
      </c>
    </row>
    <row r="28" spans="1:6">
      <c r="A28" s="50" t="s">
        <v>443</v>
      </c>
      <c r="B28" s="55" t="s">
        <v>292</v>
      </c>
      <c r="C28" s="54" t="s">
        <v>87</v>
      </c>
      <c r="D28" s="49">
        <v>10.9</v>
      </c>
      <c r="E28" s="62">
        <v>4.5</v>
      </c>
      <c r="F28" s="63">
        <f t="shared" si="1"/>
        <v>49.050000000000004</v>
      </c>
    </row>
    <row r="29" spans="1:6">
      <c r="A29" s="50" t="s">
        <v>444</v>
      </c>
      <c r="B29" s="55" t="s">
        <v>269</v>
      </c>
      <c r="C29" s="54" t="s">
        <v>87</v>
      </c>
      <c r="D29" s="49">
        <v>8.6999999999999993</v>
      </c>
      <c r="E29" s="62">
        <v>29.84</v>
      </c>
      <c r="F29" s="63">
        <f t="shared" si="1"/>
        <v>259.608</v>
      </c>
    </row>
    <row r="30" spans="1:6">
      <c r="A30" s="50" t="s">
        <v>445</v>
      </c>
      <c r="B30" s="55" t="s">
        <v>414</v>
      </c>
      <c r="C30" s="54" t="s">
        <v>87</v>
      </c>
      <c r="D30" s="49">
        <v>8.6999999999999993</v>
      </c>
      <c r="E30" s="62">
        <v>3.92</v>
      </c>
      <c r="F30" s="63">
        <f t="shared" si="1"/>
        <v>34.103999999999999</v>
      </c>
    </row>
    <row r="31" spans="1:6">
      <c r="A31" s="50" t="s">
        <v>446</v>
      </c>
      <c r="B31" s="55" t="s">
        <v>271</v>
      </c>
      <c r="C31" s="54" t="s">
        <v>87</v>
      </c>
      <c r="D31" s="49">
        <v>8.6999999999999993</v>
      </c>
      <c r="E31" s="62">
        <v>4.49</v>
      </c>
      <c r="F31" s="63">
        <f t="shared" si="1"/>
        <v>39.062999999999995</v>
      </c>
    </row>
    <row r="32" spans="1:6">
      <c r="A32" s="50" t="s">
        <v>447</v>
      </c>
      <c r="B32" s="55" t="s">
        <v>562</v>
      </c>
      <c r="C32" s="298" t="s">
        <v>87</v>
      </c>
      <c r="D32" s="49">
        <v>28.5</v>
      </c>
      <c r="E32" s="305">
        <f>E26*0.224+E27*0.224+(E28+E30)/2*0.165+E29*0.174+E31*0.155+4.86*0.058</f>
        <v>12.428799999999997</v>
      </c>
      <c r="F32" s="137">
        <f t="shared" si="1"/>
        <v>354.22079999999994</v>
      </c>
    </row>
    <row r="33" spans="1:6" ht="14.25">
      <c r="A33" s="58" t="s">
        <v>448</v>
      </c>
      <c r="B33" s="94" t="s">
        <v>541</v>
      </c>
      <c r="C33" s="54"/>
      <c r="D33" s="49"/>
      <c r="E33" s="305"/>
      <c r="F33" s="63"/>
    </row>
    <row r="34" spans="1:6">
      <c r="A34" s="96" t="s">
        <v>449</v>
      </c>
      <c r="B34" s="55" t="s">
        <v>273</v>
      </c>
      <c r="C34" s="54" t="s">
        <v>87</v>
      </c>
      <c r="D34" s="49">
        <v>30.4</v>
      </c>
      <c r="E34" s="305">
        <v>11.21</v>
      </c>
      <c r="F34" s="63">
        <f t="shared" ref="F34:F47" si="2">E34*D34</f>
        <v>340.78399999999999</v>
      </c>
    </row>
    <row r="35" spans="1:6" s="273" customFormat="1">
      <c r="A35" s="96" t="s">
        <v>450</v>
      </c>
      <c r="B35" s="55" t="s">
        <v>274</v>
      </c>
      <c r="C35" s="298" t="s">
        <v>87</v>
      </c>
      <c r="D35" s="49">
        <v>9.1</v>
      </c>
      <c r="E35" s="305">
        <f>11.21*0.692+46.72*0.308</f>
        <v>22.147079999999999</v>
      </c>
      <c r="F35" s="137">
        <f t="shared" si="2"/>
        <v>201.53842799999998</v>
      </c>
    </row>
    <row r="36" spans="1:6">
      <c r="A36" s="96" t="s">
        <v>451</v>
      </c>
      <c r="B36" s="55" t="s">
        <v>415</v>
      </c>
      <c r="C36" s="54" t="s">
        <v>87</v>
      </c>
      <c r="D36" s="49">
        <v>6.1</v>
      </c>
      <c r="E36" s="62">
        <v>31.89</v>
      </c>
      <c r="F36" s="63">
        <f t="shared" si="2"/>
        <v>194.529</v>
      </c>
    </row>
    <row r="37" spans="1:6">
      <c r="A37" s="96" t="s">
        <v>452</v>
      </c>
      <c r="B37" s="55" t="s">
        <v>275</v>
      </c>
      <c r="C37" s="54" t="s">
        <v>87</v>
      </c>
      <c r="D37" s="49">
        <v>6.1</v>
      </c>
      <c r="E37" s="62">
        <v>11.21</v>
      </c>
      <c r="F37" s="63">
        <f t="shared" si="2"/>
        <v>68.381</v>
      </c>
    </row>
    <row r="38" spans="1:6">
      <c r="A38" s="96" t="s">
        <v>453</v>
      </c>
      <c r="B38" s="55" t="s">
        <v>276</v>
      </c>
      <c r="C38" s="54" t="s">
        <v>87</v>
      </c>
      <c r="D38" s="49">
        <v>3</v>
      </c>
      <c r="E38" s="62">
        <v>23.02</v>
      </c>
      <c r="F38" s="63">
        <f t="shared" si="2"/>
        <v>69.06</v>
      </c>
    </row>
    <row r="39" spans="1:6">
      <c r="A39" s="96" t="s">
        <v>454</v>
      </c>
      <c r="B39" s="55" t="s">
        <v>277</v>
      </c>
      <c r="C39" s="298" t="s">
        <v>87</v>
      </c>
      <c r="D39" s="49">
        <v>6.1</v>
      </c>
      <c r="E39" s="62">
        <v>11.21</v>
      </c>
      <c r="F39" s="137">
        <f t="shared" si="2"/>
        <v>68.381</v>
      </c>
    </row>
    <row r="40" spans="1:6" ht="14.25">
      <c r="A40" s="58" t="s">
        <v>455</v>
      </c>
      <c r="B40" s="94" t="s">
        <v>325</v>
      </c>
      <c r="C40" s="54" t="s">
        <v>278</v>
      </c>
      <c r="D40" s="49">
        <v>54.8</v>
      </c>
      <c r="E40" s="62">
        <v>18.95</v>
      </c>
      <c r="F40" s="63">
        <f t="shared" si="2"/>
        <v>1038.4599999999998</v>
      </c>
    </row>
    <row r="41" spans="1:6" ht="14.25">
      <c r="A41" s="97" t="s">
        <v>456</v>
      </c>
      <c r="B41" s="94" t="s">
        <v>54</v>
      </c>
      <c r="C41" s="54" t="s">
        <v>87</v>
      </c>
      <c r="D41" s="49">
        <v>5.5</v>
      </c>
      <c r="E41" s="62">
        <v>110.06</v>
      </c>
      <c r="F41" s="63">
        <f t="shared" si="2"/>
        <v>605.33000000000004</v>
      </c>
    </row>
    <row r="42" spans="1:6" ht="14.25">
      <c r="A42" s="58" t="s">
        <v>461</v>
      </c>
      <c r="B42" s="94" t="s">
        <v>286</v>
      </c>
      <c r="C42" s="54" t="s">
        <v>87</v>
      </c>
      <c r="D42" s="49">
        <v>23.1</v>
      </c>
      <c r="E42" s="62">
        <v>17.78</v>
      </c>
      <c r="F42" s="63">
        <f t="shared" si="2"/>
        <v>410.71800000000007</v>
      </c>
    </row>
    <row r="43" spans="1:6" ht="14.25">
      <c r="A43" s="58" t="s">
        <v>468</v>
      </c>
      <c r="B43" s="94" t="s">
        <v>288</v>
      </c>
      <c r="C43" s="54" t="s">
        <v>87</v>
      </c>
      <c r="D43" s="49">
        <v>1.1000000000000001</v>
      </c>
      <c r="E43" s="62">
        <v>98.65</v>
      </c>
      <c r="F43" s="63">
        <f t="shared" si="2"/>
        <v>108.51500000000001</v>
      </c>
    </row>
    <row r="44" spans="1:6" ht="14.25">
      <c r="A44" s="58" t="s">
        <v>469</v>
      </c>
      <c r="B44" s="94" t="s">
        <v>287</v>
      </c>
      <c r="C44" s="54" t="s">
        <v>87</v>
      </c>
      <c r="D44" s="49">
        <v>6.1</v>
      </c>
      <c r="E44" s="62">
        <f>41.15*0.792+53.03*0.208</f>
        <v>43.621040000000001</v>
      </c>
      <c r="F44" s="63">
        <f t="shared" si="2"/>
        <v>266.08834400000001</v>
      </c>
    </row>
    <row r="45" spans="1:6" ht="14.25">
      <c r="A45" s="58" t="s">
        <v>472</v>
      </c>
      <c r="B45" s="94" t="s">
        <v>60</v>
      </c>
      <c r="C45" s="54" t="s">
        <v>87</v>
      </c>
      <c r="D45" s="49">
        <v>12.8</v>
      </c>
      <c r="E45" s="62">
        <v>134.44999999999999</v>
      </c>
      <c r="F45" s="63">
        <f t="shared" si="2"/>
        <v>1720.96</v>
      </c>
    </row>
    <row r="46" spans="1:6" ht="14.25">
      <c r="A46" s="58" t="s">
        <v>473</v>
      </c>
      <c r="B46" s="94" t="s">
        <v>68</v>
      </c>
      <c r="C46" s="54" t="s">
        <v>87</v>
      </c>
      <c r="D46" s="49">
        <v>5.0999999999999996</v>
      </c>
      <c r="E46" s="62">
        <v>32.92</v>
      </c>
      <c r="F46" s="63">
        <f t="shared" si="2"/>
        <v>167.892</v>
      </c>
    </row>
    <row r="47" spans="1:6" ht="14.25">
      <c r="A47" s="58" t="s">
        <v>474</v>
      </c>
      <c r="B47" s="94" t="s">
        <v>352</v>
      </c>
      <c r="C47" s="54" t="s">
        <v>88</v>
      </c>
      <c r="D47" s="67">
        <v>365</v>
      </c>
      <c r="E47" s="68">
        <f>22.13/10</f>
        <v>2.2130000000000001</v>
      </c>
      <c r="F47" s="63">
        <f t="shared" si="2"/>
        <v>807.745</v>
      </c>
    </row>
    <row r="48" spans="1:6" ht="14.25">
      <c r="A48" s="58" t="s">
        <v>475</v>
      </c>
      <c r="B48" s="94" t="s">
        <v>542</v>
      </c>
      <c r="C48" s="54"/>
      <c r="D48" s="49"/>
      <c r="E48" s="62"/>
      <c r="F48" s="63"/>
    </row>
    <row r="49" spans="1:6">
      <c r="A49" s="50" t="s">
        <v>545</v>
      </c>
      <c r="B49" s="55" t="s">
        <v>59</v>
      </c>
      <c r="C49" s="54" t="s">
        <v>87</v>
      </c>
      <c r="D49" s="49">
        <v>82.1</v>
      </c>
      <c r="E49" s="62">
        <v>15.41</v>
      </c>
      <c r="F49" s="63">
        <f>E49*D49</f>
        <v>1265.1609999999998</v>
      </c>
    </row>
    <row r="50" spans="1:6">
      <c r="A50" s="50" t="s">
        <v>546</v>
      </c>
      <c r="B50" s="55" t="s">
        <v>284</v>
      </c>
      <c r="C50" s="54" t="s">
        <v>87</v>
      </c>
      <c r="D50" s="49">
        <v>82.1</v>
      </c>
      <c r="E50" s="62">
        <v>18.22</v>
      </c>
      <c r="F50" s="63">
        <f>E50*D50</f>
        <v>1495.8619999999999</v>
      </c>
    </row>
    <row r="51" spans="1:6">
      <c r="A51" s="50" t="s">
        <v>547</v>
      </c>
      <c r="B51" s="55" t="s">
        <v>61</v>
      </c>
      <c r="C51" s="54" t="s">
        <v>87</v>
      </c>
      <c r="D51" s="49">
        <v>20.7</v>
      </c>
      <c r="E51" s="62">
        <v>71.39</v>
      </c>
      <c r="F51" s="63">
        <f>E51*D51</f>
        <v>1477.7729999999999</v>
      </c>
    </row>
    <row r="52" spans="1:6">
      <c r="A52" s="50" t="s">
        <v>548</v>
      </c>
      <c r="B52" s="55" t="s">
        <v>62</v>
      </c>
      <c r="C52" s="54" t="s">
        <v>87</v>
      </c>
      <c r="D52" s="49">
        <v>7.3</v>
      </c>
      <c r="E52" s="62">
        <v>42.59</v>
      </c>
      <c r="F52" s="63">
        <f>E52*D52</f>
        <v>310.90700000000004</v>
      </c>
    </row>
    <row r="53" spans="1:6">
      <c r="A53" s="50" t="s">
        <v>549</v>
      </c>
      <c r="B53" s="55" t="s">
        <v>63</v>
      </c>
      <c r="C53" s="54" t="s">
        <v>87</v>
      </c>
      <c r="D53" s="49">
        <v>4.3</v>
      </c>
      <c r="E53" s="62">
        <v>130.97</v>
      </c>
      <c r="F53" s="63">
        <f>E53*D53</f>
        <v>563.17099999999994</v>
      </c>
    </row>
    <row r="54" spans="1:6" ht="14.25">
      <c r="A54" s="58" t="s">
        <v>476</v>
      </c>
      <c r="B54" s="94" t="s">
        <v>543</v>
      </c>
      <c r="C54" s="54"/>
      <c r="D54" s="49"/>
      <c r="E54" s="62"/>
      <c r="F54" s="63"/>
    </row>
    <row r="55" spans="1:6">
      <c r="A55" s="50" t="s">
        <v>550</v>
      </c>
      <c r="B55" s="55" t="s">
        <v>279</v>
      </c>
      <c r="C55" s="298" t="s">
        <v>87</v>
      </c>
      <c r="D55" s="49">
        <v>18.3</v>
      </c>
      <c r="E55" s="62">
        <f>84.49*0.964+80.15*0.036</f>
        <v>84.333759999999998</v>
      </c>
      <c r="F55" s="137">
        <f t="shared" ref="F55:F62" si="3">E55*D55</f>
        <v>1543.307808</v>
      </c>
    </row>
    <row r="56" spans="1:6">
      <c r="A56" s="50" t="s">
        <v>551</v>
      </c>
      <c r="B56" s="55" t="s">
        <v>280</v>
      </c>
      <c r="C56" s="54" t="s">
        <v>87</v>
      </c>
      <c r="D56" s="49">
        <v>9.1999999999999993</v>
      </c>
      <c r="E56" s="62">
        <v>75.709999999999994</v>
      </c>
      <c r="F56" s="63">
        <f t="shared" si="3"/>
        <v>696.53199999999993</v>
      </c>
    </row>
    <row r="57" spans="1:6">
      <c r="A57" s="50" t="s">
        <v>552</v>
      </c>
      <c r="B57" s="55" t="s">
        <v>605</v>
      </c>
      <c r="C57" s="54" t="s">
        <v>87</v>
      </c>
      <c r="D57" s="49">
        <v>9.1999999999999993</v>
      </c>
      <c r="E57" s="62">
        <f>41.88*0.912+98.35*0.088</f>
        <v>46.849360000000004</v>
      </c>
      <c r="F57" s="137">
        <f t="shared" si="3"/>
        <v>431.01411200000001</v>
      </c>
    </row>
    <row r="58" spans="1:6">
      <c r="A58" s="50" t="s">
        <v>553</v>
      </c>
      <c r="B58" s="55" t="s">
        <v>293</v>
      </c>
      <c r="C58" s="54" t="s">
        <v>87</v>
      </c>
      <c r="D58" s="49">
        <v>9.1</v>
      </c>
      <c r="E58" s="62">
        <f>77.55*0.166+43.53*0.37+46.81*0.464</f>
        <v>50.699240000000003</v>
      </c>
      <c r="F58" s="137">
        <f t="shared" si="3"/>
        <v>461.36308400000001</v>
      </c>
    </row>
    <row r="59" spans="1:6" s="273" customFormat="1">
      <c r="A59" s="50" t="s">
        <v>554</v>
      </c>
      <c r="B59" s="55" t="s">
        <v>281</v>
      </c>
      <c r="C59" s="298" t="s">
        <v>87</v>
      </c>
      <c r="D59" s="49">
        <v>6.3</v>
      </c>
      <c r="E59" s="62">
        <f>81.15*0.482+76.88*0.518</f>
        <v>78.938140000000004</v>
      </c>
      <c r="F59" s="137">
        <f t="shared" si="3"/>
        <v>497.31028200000003</v>
      </c>
    </row>
    <row r="60" spans="1:6">
      <c r="A60" s="50" t="s">
        <v>555</v>
      </c>
      <c r="B60" s="55" t="s">
        <v>416</v>
      </c>
      <c r="C60" s="54" t="s">
        <v>87</v>
      </c>
      <c r="D60" s="49">
        <v>2.1</v>
      </c>
      <c r="E60" s="62">
        <v>113.95</v>
      </c>
      <c r="F60" s="63">
        <f t="shared" si="3"/>
        <v>239.29500000000002</v>
      </c>
    </row>
    <row r="61" spans="1:6">
      <c r="A61" s="50" t="s">
        <v>556</v>
      </c>
      <c r="B61" s="55" t="s">
        <v>282</v>
      </c>
      <c r="C61" s="54" t="s">
        <v>87</v>
      </c>
      <c r="D61" s="49">
        <v>1.5</v>
      </c>
      <c r="E61" s="62">
        <v>120.7</v>
      </c>
      <c r="F61" s="63">
        <f t="shared" si="3"/>
        <v>181.05</v>
      </c>
    </row>
    <row r="62" spans="1:6">
      <c r="A62" s="50" t="s">
        <v>557</v>
      </c>
      <c r="B62" s="55" t="s">
        <v>58</v>
      </c>
      <c r="C62" s="54" t="s">
        <v>87</v>
      </c>
      <c r="D62" s="49">
        <v>1.5</v>
      </c>
      <c r="E62" s="62">
        <v>42.32</v>
      </c>
      <c r="F62" s="63">
        <f t="shared" si="3"/>
        <v>63.480000000000004</v>
      </c>
    </row>
    <row r="63" spans="1:6" ht="14.25">
      <c r="A63" s="58" t="s">
        <v>477</v>
      </c>
      <c r="B63" s="94" t="s">
        <v>563</v>
      </c>
      <c r="C63" s="54"/>
      <c r="D63" s="49"/>
      <c r="E63" s="62"/>
      <c r="F63" s="63"/>
    </row>
    <row r="64" spans="1:6">
      <c r="A64" s="50" t="s">
        <v>558</v>
      </c>
      <c r="B64" s="55" t="s">
        <v>285</v>
      </c>
      <c r="C64" s="54" t="s">
        <v>87</v>
      </c>
      <c r="D64" s="49">
        <v>14.6</v>
      </c>
      <c r="E64" s="62">
        <f>41.19*0.388+64.74*0.612</f>
        <v>55.602599999999995</v>
      </c>
      <c r="F64" s="63">
        <f t="shared" ref="F64:F70" si="4">E64*D64</f>
        <v>811.79795999999988</v>
      </c>
    </row>
    <row r="65" spans="1:6">
      <c r="A65" s="50" t="s">
        <v>559</v>
      </c>
      <c r="B65" s="55" t="s">
        <v>223</v>
      </c>
      <c r="C65" s="54" t="s">
        <v>87</v>
      </c>
      <c r="D65" s="49">
        <v>7.3</v>
      </c>
      <c r="E65" s="62">
        <f>41.19*0.312+64.74*0.492+60.82*0.196</f>
        <v>56.624079999999999</v>
      </c>
      <c r="F65" s="63">
        <f t="shared" si="4"/>
        <v>413.35578399999997</v>
      </c>
    </row>
    <row r="66" spans="1:6" ht="14.25">
      <c r="A66" s="58" t="s">
        <v>478</v>
      </c>
      <c r="B66" s="94" t="s">
        <v>70</v>
      </c>
      <c r="C66" s="54" t="s">
        <v>87</v>
      </c>
      <c r="D66" s="49">
        <v>0.1</v>
      </c>
      <c r="E66" s="62">
        <v>339.90000000000003</v>
      </c>
      <c r="F66" s="63">
        <f t="shared" si="4"/>
        <v>33.99</v>
      </c>
    </row>
    <row r="67" spans="1:6" ht="14.25">
      <c r="A67" s="58" t="s">
        <v>479</v>
      </c>
      <c r="B67" s="94" t="s">
        <v>289</v>
      </c>
      <c r="C67" s="54" t="s">
        <v>87</v>
      </c>
      <c r="D67" s="49">
        <v>0.36499999999999999</v>
      </c>
      <c r="E67" s="62">
        <v>203.2</v>
      </c>
      <c r="F67" s="63">
        <f t="shared" si="4"/>
        <v>74.167999999999992</v>
      </c>
    </row>
    <row r="68" spans="1:6" ht="14.25">
      <c r="A68" s="58" t="s">
        <v>480</v>
      </c>
      <c r="B68" s="94" t="s">
        <v>290</v>
      </c>
      <c r="C68" s="54" t="s">
        <v>87</v>
      </c>
      <c r="D68" s="49">
        <v>0.36499999999999999</v>
      </c>
      <c r="E68" s="62">
        <v>24.49</v>
      </c>
      <c r="F68" s="63">
        <f t="shared" si="4"/>
        <v>8.9388499999999986</v>
      </c>
    </row>
    <row r="69" spans="1:6" ht="14.25">
      <c r="A69" s="58" t="s">
        <v>560</v>
      </c>
      <c r="B69" s="94" t="s">
        <v>69</v>
      </c>
      <c r="C69" s="54" t="s">
        <v>87</v>
      </c>
      <c r="D69" s="49">
        <v>3.3</v>
      </c>
      <c r="E69" s="62">
        <v>4.55</v>
      </c>
      <c r="F69" s="63">
        <f t="shared" si="4"/>
        <v>15.014999999999999</v>
      </c>
    </row>
    <row r="70" spans="1:6" ht="14.25">
      <c r="A70" s="98" t="s">
        <v>561</v>
      </c>
      <c r="B70" s="94" t="s">
        <v>291</v>
      </c>
      <c r="C70" s="54" t="s">
        <v>87</v>
      </c>
      <c r="D70" s="99">
        <v>0.1</v>
      </c>
      <c r="E70" s="100">
        <v>370.5</v>
      </c>
      <c r="F70" s="63">
        <f t="shared" si="4"/>
        <v>37.050000000000004</v>
      </c>
    </row>
    <row r="71" spans="1:6" ht="15.75">
      <c r="A71" s="70" t="s">
        <v>374</v>
      </c>
      <c r="B71" s="71"/>
      <c r="C71" s="41"/>
      <c r="D71" s="41"/>
      <c r="E71" s="62"/>
      <c r="F71" s="72">
        <f>SUM(F12:F70)</f>
        <v>19855.673451999995</v>
      </c>
    </row>
    <row r="72" spans="1:6" ht="15.75">
      <c r="A72" s="73" t="s">
        <v>375</v>
      </c>
      <c r="B72" s="75"/>
      <c r="C72" s="75"/>
      <c r="D72" s="75"/>
      <c r="E72" s="75"/>
      <c r="F72" s="76">
        <f>F71/12</f>
        <v>1654.6394543333329</v>
      </c>
    </row>
    <row r="73" spans="1:6">
      <c r="E73" s="8"/>
    </row>
  </sheetData>
  <mergeCells count="2">
    <mergeCell ref="A1:F1"/>
    <mergeCell ref="A2:F2"/>
  </mergeCells>
  <phoneticPr fontId="30" type="noConversion"/>
  <printOptions horizontalCentered="1"/>
  <pageMargins left="0.27559055118110237" right="0.27559055118110237" top="0.19685039370078741" bottom="0.23622047244094491" header="0.39370078740157483" footer="0.78740157480314965"/>
  <pageSetup paperSize="9" scale="86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="75" zoomScaleNormal="75" workbookViewId="0">
      <selection activeCell="E9" sqref="E9:E56"/>
    </sheetView>
  </sheetViews>
  <sheetFormatPr defaultRowHeight="12.75"/>
  <cols>
    <col min="1" max="1" width="6.28515625" style="24" customWidth="1"/>
    <col min="2" max="2" width="23.140625" customWidth="1"/>
    <col min="3" max="3" width="7.85546875" customWidth="1"/>
    <col min="4" max="4" width="19.28515625" customWidth="1"/>
    <col min="5" max="5" width="13.28515625" customWidth="1"/>
    <col min="6" max="6" width="13.85546875" customWidth="1"/>
    <col min="7" max="7" width="9.140625" style="37"/>
    <col min="8" max="8" width="4.7109375" style="37" customWidth="1"/>
    <col min="9" max="10" width="4.7109375" style="36" customWidth="1"/>
    <col min="11" max="43" width="4.7109375" customWidth="1"/>
  </cols>
  <sheetData>
    <row r="1" spans="1:11" ht="16.5" customHeight="1">
      <c r="A1" s="414" t="s">
        <v>646</v>
      </c>
      <c r="B1" s="414"/>
      <c r="C1" s="414"/>
      <c r="D1" s="414"/>
      <c r="E1" s="414"/>
      <c r="F1" s="414"/>
      <c r="G1" s="46"/>
      <c r="H1" s="46"/>
      <c r="I1" s="33"/>
      <c r="J1" s="33"/>
      <c r="K1" s="8"/>
    </row>
    <row r="2" spans="1:11" s="5" customFormat="1" ht="17.25" customHeight="1">
      <c r="A2" s="101"/>
      <c r="B2" s="74"/>
      <c r="C2" s="102"/>
      <c r="D2" s="102"/>
      <c r="E2" s="102"/>
      <c r="F2" s="102"/>
      <c r="G2" s="302"/>
      <c r="H2" s="302"/>
      <c r="I2" s="270"/>
      <c r="J2" s="270"/>
      <c r="K2" s="20"/>
    </row>
    <row r="3" spans="1:11">
      <c r="A3" s="81" t="s">
        <v>42</v>
      </c>
      <c r="B3" s="224" t="s">
        <v>303</v>
      </c>
      <c r="C3" s="82" t="s">
        <v>92</v>
      </c>
      <c r="D3" s="83" t="s">
        <v>97</v>
      </c>
      <c r="E3" s="83" t="s">
        <v>94</v>
      </c>
      <c r="F3" s="82" t="s">
        <v>107</v>
      </c>
      <c r="G3" s="46"/>
      <c r="H3" s="46"/>
      <c r="I3" s="33"/>
      <c r="J3" s="302"/>
      <c r="K3" s="8"/>
    </row>
    <row r="4" spans="1:11">
      <c r="A4" s="222" t="s">
        <v>373</v>
      </c>
      <c r="B4" s="84" t="s">
        <v>304</v>
      </c>
      <c r="C4" s="80" t="s">
        <v>81</v>
      </c>
      <c r="D4" s="243" t="s">
        <v>632</v>
      </c>
      <c r="E4" s="243" t="s">
        <v>95</v>
      </c>
      <c r="F4" s="80" t="s">
        <v>105</v>
      </c>
      <c r="G4" s="46"/>
      <c r="H4" s="46"/>
      <c r="I4" s="33"/>
      <c r="J4" s="303"/>
      <c r="K4" s="8"/>
    </row>
    <row r="5" spans="1:11">
      <c r="A5" s="225"/>
      <c r="B5" s="227"/>
      <c r="C5" s="80"/>
      <c r="D5" s="243" t="s">
        <v>634</v>
      </c>
      <c r="E5" s="243" t="s">
        <v>671</v>
      </c>
      <c r="F5" s="80"/>
      <c r="G5" s="46"/>
      <c r="H5" s="46"/>
      <c r="I5" s="33"/>
      <c r="J5" s="302"/>
      <c r="K5" s="8"/>
    </row>
    <row r="6" spans="1:11">
      <c r="A6" s="225"/>
      <c r="B6" s="248"/>
      <c r="C6" s="243"/>
      <c r="D6" s="80"/>
      <c r="E6" s="243" t="s">
        <v>669</v>
      </c>
      <c r="F6" s="80"/>
      <c r="G6" s="304"/>
      <c r="H6" s="46"/>
      <c r="I6" s="33"/>
      <c r="J6" s="302"/>
      <c r="K6" s="8"/>
    </row>
    <row r="7" spans="1:11">
      <c r="A7" s="229"/>
      <c r="B7" s="277"/>
      <c r="C7" s="278"/>
      <c r="D7" s="124"/>
      <c r="E7" s="278" t="s">
        <v>660</v>
      </c>
      <c r="F7" s="124" t="s">
        <v>660</v>
      </c>
      <c r="G7" s="46"/>
      <c r="H7" s="46"/>
      <c r="I7" s="33"/>
      <c r="J7" s="302"/>
      <c r="K7" s="8"/>
    </row>
    <row r="8" spans="1:11" ht="14.25">
      <c r="A8" s="58">
        <v>1</v>
      </c>
      <c r="B8" s="69" t="s">
        <v>315</v>
      </c>
      <c r="C8" s="54"/>
      <c r="D8" s="48"/>
      <c r="E8" s="54"/>
      <c r="F8" s="49"/>
      <c r="G8" s="46"/>
      <c r="H8" s="46"/>
      <c r="I8" s="33"/>
      <c r="J8" s="33"/>
      <c r="K8" s="8"/>
    </row>
    <row r="9" spans="1:11">
      <c r="A9" s="50" t="s">
        <v>427</v>
      </c>
      <c r="B9" s="36" t="s">
        <v>119</v>
      </c>
      <c r="C9" s="54" t="s">
        <v>87</v>
      </c>
      <c r="D9" s="48">
        <v>0.4</v>
      </c>
      <c r="E9" s="170">
        <v>9.9600000000000009</v>
      </c>
      <c r="F9" s="63">
        <f t="shared" ref="F9:F20" si="0">E9*D9</f>
        <v>3.9840000000000004</v>
      </c>
      <c r="G9" s="62"/>
      <c r="H9" s="62"/>
      <c r="I9" s="33"/>
      <c r="J9" s="62"/>
      <c r="K9" s="8"/>
    </row>
    <row r="10" spans="1:11">
      <c r="A10" s="50" t="s">
        <v>428</v>
      </c>
      <c r="B10" s="36" t="s">
        <v>120</v>
      </c>
      <c r="C10" s="54" t="s">
        <v>87</v>
      </c>
      <c r="D10" s="107">
        <v>9</v>
      </c>
      <c r="E10" s="170">
        <v>9.15</v>
      </c>
      <c r="F10" s="63">
        <f t="shared" si="0"/>
        <v>82.350000000000009</v>
      </c>
      <c r="G10" s="62"/>
      <c r="H10" s="62"/>
      <c r="I10" s="33"/>
      <c r="J10" s="62"/>
      <c r="K10" s="8"/>
    </row>
    <row r="11" spans="1:11">
      <c r="A11" s="50" t="s">
        <v>429</v>
      </c>
      <c r="B11" s="36" t="s">
        <v>49</v>
      </c>
      <c r="C11" s="54" t="s">
        <v>87</v>
      </c>
      <c r="D11" s="107">
        <v>39</v>
      </c>
      <c r="E11" s="170">
        <v>12.06</v>
      </c>
      <c r="F11" s="63">
        <f t="shared" si="0"/>
        <v>470.34000000000003</v>
      </c>
      <c r="G11" s="62"/>
      <c r="H11" s="62"/>
      <c r="I11" s="33"/>
      <c r="J11" s="62"/>
      <c r="K11" s="8"/>
    </row>
    <row r="12" spans="1:11">
      <c r="A12" s="50" t="s">
        <v>430</v>
      </c>
      <c r="B12" s="36" t="s">
        <v>48</v>
      </c>
      <c r="C12" s="54" t="s">
        <v>87</v>
      </c>
      <c r="D12" s="107">
        <v>62</v>
      </c>
      <c r="E12" s="170">
        <v>12.76</v>
      </c>
      <c r="F12" s="63">
        <f t="shared" si="0"/>
        <v>791.12</v>
      </c>
      <c r="G12" s="62"/>
      <c r="H12" s="62"/>
      <c r="I12" s="33"/>
      <c r="J12" s="62"/>
      <c r="K12" s="8"/>
    </row>
    <row r="13" spans="1:11">
      <c r="A13" s="50" t="s">
        <v>431</v>
      </c>
      <c r="B13" s="36" t="s">
        <v>50</v>
      </c>
      <c r="C13" s="54" t="s">
        <v>87</v>
      </c>
      <c r="D13" s="107">
        <v>4</v>
      </c>
      <c r="E13" s="170">
        <v>15.59</v>
      </c>
      <c r="F13" s="63">
        <f t="shared" si="0"/>
        <v>62.36</v>
      </c>
      <c r="G13" s="62"/>
      <c r="H13" s="62"/>
      <c r="I13" s="33"/>
      <c r="J13" s="62"/>
      <c r="K13" s="8"/>
    </row>
    <row r="14" spans="1:11">
      <c r="A14" s="50" t="s">
        <v>432</v>
      </c>
      <c r="B14" s="36" t="s">
        <v>47</v>
      </c>
      <c r="C14" s="54" t="s">
        <v>87</v>
      </c>
      <c r="D14" s="48">
        <v>2.5</v>
      </c>
      <c r="E14" s="170">
        <v>22.11</v>
      </c>
      <c r="F14" s="63">
        <f t="shared" si="0"/>
        <v>55.274999999999999</v>
      </c>
      <c r="G14" s="62"/>
      <c r="H14" s="62"/>
      <c r="I14" s="33"/>
      <c r="J14" s="62"/>
      <c r="K14" s="8"/>
    </row>
    <row r="15" spans="1:11">
      <c r="A15" s="50" t="s">
        <v>433</v>
      </c>
      <c r="B15" s="36" t="s">
        <v>122</v>
      </c>
      <c r="C15" s="54" t="s">
        <v>87</v>
      </c>
      <c r="D15" s="107">
        <v>1</v>
      </c>
      <c r="E15" s="170">
        <v>10.130000000000001</v>
      </c>
      <c r="F15" s="63">
        <f t="shared" si="0"/>
        <v>10.130000000000001</v>
      </c>
      <c r="G15" s="62"/>
      <c r="H15" s="62"/>
      <c r="I15" s="33"/>
      <c r="J15" s="62"/>
      <c r="K15" s="8"/>
    </row>
    <row r="16" spans="1:11">
      <c r="A16" s="50" t="s">
        <v>434</v>
      </c>
      <c r="B16" s="36" t="s">
        <v>123</v>
      </c>
      <c r="C16" s="54" t="s">
        <v>87</v>
      </c>
      <c r="D16" s="107">
        <v>2</v>
      </c>
      <c r="E16" s="170">
        <v>34.369999999999997</v>
      </c>
      <c r="F16" s="63">
        <f t="shared" si="0"/>
        <v>68.739999999999995</v>
      </c>
      <c r="G16" s="62"/>
      <c r="H16" s="62"/>
      <c r="I16" s="33"/>
      <c r="J16" s="62"/>
      <c r="K16" s="8"/>
    </row>
    <row r="17" spans="1:11">
      <c r="A17" s="50" t="s">
        <v>435</v>
      </c>
      <c r="B17" s="36" t="s">
        <v>124</v>
      </c>
      <c r="C17" s="54" t="s">
        <v>87</v>
      </c>
      <c r="D17" s="48">
        <v>1.1000000000000001</v>
      </c>
      <c r="E17" s="170">
        <v>23.03</v>
      </c>
      <c r="F17" s="63">
        <f t="shared" si="0"/>
        <v>25.333000000000002</v>
      </c>
      <c r="G17" s="62"/>
      <c r="H17" s="62"/>
      <c r="I17" s="33"/>
      <c r="J17" s="62"/>
      <c r="K17" s="8"/>
    </row>
    <row r="18" spans="1:11">
      <c r="A18" s="50" t="s">
        <v>436</v>
      </c>
      <c r="B18" s="36" t="s">
        <v>46</v>
      </c>
      <c r="C18" s="54" t="s">
        <v>87</v>
      </c>
      <c r="D18" s="48">
        <v>1.9</v>
      </c>
      <c r="E18" s="170">
        <v>14.37</v>
      </c>
      <c r="F18" s="63">
        <f t="shared" si="0"/>
        <v>27.302999999999997</v>
      </c>
      <c r="G18" s="62"/>
      <c r="H18" s="62"/>
      <c r="I18" s="33"/>
      <c r="J18" s="62"/>
      <c r="K18" s="8"/>
    </row>
    <row r="19" spans="1:11">
      <c r="A19" s="50" t="s">
        <v>437</v>
      </c>
      <c r="B19" s="36" t="s">
        <v>53</v>
      </c>
      <c r="C19" s="298" t="s">
        <v>87</v>
      </c>
      <c r="D19" s="48">
        <v>0.5</v>
      </c>
      <c r="E19" s="170">
        <v>8.75</v>
      </c>
      <c r="F19" s="137">
        <f t="shared" si="0"/>
        <v>4.375</v>
      </c>
      <c r="G19" s="62"/>
      <c r="H19" s="62"/>
      <c r="I19" s="33"/>
      <c r="J19" s="62"/>
      <c r="K19" s="8"/>
    </row>
    <row r="20" spans="1:11" ht="14.25">
      <c r="A20" s="58">
        <v>2</v>
      </c>
      <c r="B20" s="69" t="s">
        <v>43</v>
      </c>
      <c r="C20" s="54" t="s">
        <v>87</v>
      </c>
      <c r="D20" s="107">
        <v>95</v>
      </c>
      <c r="E20" s="331">
        <v>4.83</v>
      </c>
      <c r="F20" s="63">
        <f t="shared" si="0"/>
        <v>458.85</v>
      </c>
      <c r="G20" s="62"/>
      <c r="H20" s="62"/>
      <c r="I20" s="33"/>
      <c r="J20" s="62"/>
      <c r="K20" s="8"/>
    </row>
    <row r="21" spans="1:11" ht="14.25">
      <c r="A21" s="58">
        <v>3</v>
      </c>
      <c r="B21" s="69" t="s">
        <v>564</v>
      </c>
      <c r="C21" s="54"/>
      <c r="D21" s="48"/>
      <c r="E21" s="331"/>
      <c r="F21" s="63"/>
      <c r="G21" s="62"/>
      <c r="H21" s="62"/>
      <c r="I21" s="33"/>
      <c r="J21" s="62"/>
      <c r="K21" s="8"/>
    </row>
    <row r="22" spans="1:11">
      <c r="A22" s="50" t="s">
        <v>481</v>
      </c>
      <c r="B22" s="36" t="s">
        <v>52</v>
      </c>
      <c r="C22" s="54" t="s">
        <v>87</v>
      </c>
      <c r="D22" s="107">
        <v>28</v>
      </c>
      <c r="E22" s="331">
        <v>3.8</v>
      </c>
      <c r="F22" s="63">
        <f t="shared" ref="F22:F27" si="1">E22*D22</f>
        <v>106.39999999999999</v>
      </c>
      <c r="G22" s="62"/>
      <c r="H22" s="62"/>
      <c r="I22" s="33"/>
      <c r="J22" s="62"/>
      <c r="K22" s="8"/>
    </row>
    <row r="23" spans="1:11">
      <c r="A23" s="50" t="s">
        <v>482</v>
      </c>
      <c r="B23" s="36" t="s">
        <v>565</v>
      </c>
      <c r="C23" s="298" t="s">
        <v>87</v>
      </c>
      <c r="D23" s="107">
        <v>25</v>
      </c>
      <c r="E23" s="331">
        <f>21.04*0.563+29.84*0.437</f>
        <v>24.885599999999997</v>
      </c>
      <c r="F23" s="137">
        <f t="shared" si="1"/>
        <v>622.13999999999987</v>
      </c>
      <c r="G23" s="297"/>
      <c r="H23" s="62"/>
      <c r="I23" s="33"/>
      <c r="J23" s="62"/>
      <c r="K23" s="8"/>
    </row>
    <row r="24" spans="1:11">
      <c r="A24" s="50" t="s">
        <v>483</v>
      </c>
      <c r="B24" s="36" t="s">
        <v>566</v>
      </c>
      <c r="C24" s="298" t="s">
        <v>87</v>
      </c>
      <c r="D24" s="107">
        <v>18</v>
      </c>
      <c r="E24" s="331">
        <f>(4.5+3.92)/2</f>
        <v>4.21</v>
      </c>
      <c r="F24" s="137">
        <f t="shared" si="1"/>
        <v>75.78</v>
      </c>
      <c r="G24" s="62"/>
      <c r="H24" s="62"/>
      <c r="I24" s="33"/>
      <c r="J24" s="62"/>
      <c r="K24" s="8"/>
    </row>
    <row r="25" spans="1:11">
      <c r="A25" s="50" t="s">
        <v>484</v>
      </c>
      <c r="B25" s="36" t="s">
        <v>125</v>
      </c>
      <c r="C25" s="54" t="s">
        <v>87</v>
      </c>
      <c r="D25" s="107">
        <v>10</v>
      </c>
      <c r="E25" s="331">
        <f>4.49*0.937+90.4*0.063</f>
        <v>9.902330000000001</v>
      </c>
      <c r="F25" s="63">
        <f t="shared" si="1"/>
        <v>99.023300000000006</v>
      </c>
      <c r="G25" s="62"/>
      <c r="H25" s="62"/>
      <c r="I25" s="33"/>
      <c r="J25" s="62"/>
      <c r="K25" s="8"/>
    </row>
    <row r="26" spans="1:11">
      <c r="A26" s="50" t="s">
        <v>485</v>
      </c>
      <c r="B26" s="36" t="s">
        <v>51</v>
      </c>
      <c r="C26" s="54" t="s">
        <v>87</v>
      </c>
      <c r="D26" s="107">
        <v>16</v>
      </c>
      <c r="E26" s="331">
        <v>4.8600000000000003</v>
      </c>
      <c r="F26" s="63">
        <f t="shared" si="1"/>
        <v>77.760000000000005</v>
      </c>
      <c r="G26" s="62"/>
      <c r="H26" s="62"/>
      <c r="I26" s="33"/>
      <c r="J26" s="62"/>
      <c r="K26" s="8"/>
    </row>
    <row r="27" spans="1:11">
      <c r="A27" s="50" t="s">
        <v>486</v>
      </c>
      <c r="B27" s="36" t="s">
        <v>53</v>
      </c>
      <c r="C27" s="298" t="s">
        <v>87</v>
      </c>
      <c r="D27" s="107">
        <v>13</v>
      </c>
      <c r="E27" s="331">
        <f>E22*0.222+E23*0.394+E24*0.164+E25*0.163+E26*0.057</f>
        <v>13.230066190000001</v>
      </c>
      <c r="F27" s="137">
        <f t="shared" si="1"/>
        <v>171.99086047</v>
      </c>
      <c r="G27" s="297"/>
      <c r="H27" s="297"/>
      <c r="I27" s="270"/>
      <c r="J27" s="297"/>
      <c r="K27" s="8"/>
    </row>
    <row r="28" spans="1:11" ht="14.25">
      <c r="A28" s="58">
        <v>4</v>
      </c>
      <c r="B28" s="69" t="s">
        <v>66</v>
      </c>
      <c r="C28" s="54"/>
      <c r="D28" s="108"/>
      <c r="E28" s="331"/>
      <c r="F28" s="63"/>
      <c r="G28" s="62"/>
      <c r="H28" s="62"/>
      <c r="I28" s="33"/>
      <c r="J28" s="62"/>
      <c r="K28" s="8"/>
    </row>
    <row r="29" spans="1:11">
      <c r="A29" s="50" t="s">
        <v>441</v>
      </c>
      <c r="B29" s="109" t="s">
        <v>567</v>
      </c>
      <c r="C29" s="298" t="s">
        <v>87</v>
      </c>
      <c r="D29" s="107">
        <v>60</v>
      </c>
      <c r="E29" s="170">
        <f>11.21*0.505+11.21*0.2+11.21*0.204+46.72*0.091</f>
        <v>14.441410000000001</v>
      </c>
      <c r="F29" s="137">
        <f>E29*D29</f>
        <v>866.48460000000011</v>
      </c>
      <c r="G29" s="62"/>
      <c r="H29" s="62"/>
      <c r="I29" s="33"/>
      <c r="J29" s="62"/>
      <c r="K29" s="8"/>
    </row>
    <row r="30" spans="1:11">
      <c r="A30" s="50" t="s">
        <v>442</v>
      </c>
      <c r="B30" s="109" t="s">
        <v>54</v>
      </c>
      <c r="C30" s="54" t="s">
        <v>87</v>
      </c>
      <c r="D30" s="107">
        <v>4</v>
      </c>
      <c r="E30" s="170">
        <v>110.06</v>
      </c>
      <c r="F30" s="63">
        <f>E30*D30</f>
        <v>440.24</v>
      </c>
      <c r="G30" s="62"/>
      <c r="H30" s="62"/>
      <c r="I30" s="33"/>
      <c r="J30" s="62"/>
      <c r="K30" s="8"/>
    </row>
    <row r="31" spans="1:11" ht="14.25">
      <c r="A31" s="58" t="s">
        <v>448</v>
      </c>
      <c r="B31" s="69" t="s">
        <v>636</v>
      </c>
      <c r="C31" s="54"/>
      <c r="D31" s="48"/>
      <c r="E31" s="170"/>
      <c r="F31" s="63"/>
      <c r="G31" s="62"/>
      <c r="H31" s="62"/>
      <c r="I31" s="33"/>
      <c r="J31" s="62"/>
      <c r="K31" s="8"/>
    </row>
    <row r="32" spans="1:11" ht="15">
      <c r="A32" s="50" t="s">
        <v>449</v>
      </c>
      <c r="B32" s="110" t="s">
        <v>134</v>
      </c>
      <c r="C32" s="54" t="s">
        <v>87</v>
      </c>
      <c r="D32" s="107">
        <v>24</v>
      </c>
      <c r="E32" s="170">
        <v>17.78</v>
      </c>
      <c r="F32" s="63">
        <f>E32*D32</f>
        <v>426.72</v>
      </c>
      <c r="G32" s="62"/>
      <c r="H32" s="62"/>
      <c r="I32" s="33"/>
      <c r="J32" s="62"/>
      <c r="K32" s="8"/>
    </row>
    <row r="33" spans="1:12">
      <c r="A33" s="50" t="s">
        <v>450</v>
      </c>
      <c r="B33" s="109" t="s">
        <v>287</v>
      </c>
      <c r="C33" s="298" t="s">
        <v>87</v>
      </c>
      <c r="D33" s="107">
        <v>13</v>
      </c>
      <c r="E33" s="63">
        <f>41.15*0.792+53.03*0.208</f>
        <v>43.621040000000001</v>
      </c>
      <c r="F33" s="137">
        <f>E33*D33</f>
        <v>567.07352000000003</v>
      </c>
      <c r="G33" s="297"/>
      <c r="H33" s="62"/>
      <c r="I33" s="33"/>
      <c r="J33" s="62"/>
      <c r="K33" s="8"/>
    </row>
    <row r="34" spans="1:12" ht="14.25">
      <c r="A34" s="58" t="s">
        <v>455</v>
      </c>
      <c r="B34" s="111" t="s">
        <v>68</v>
      </c>
      <c r="C34" s="54" t="s">
        <v>87</v>
      </c>
      <c r="D34" s="48">
        <v>7.1</v>
      </c>
      <c r="E34" s="170">
        <v>32.92</v>
      </c>
      <c r="F34" s="63">
        <f>E34*D34</f>
        <v>233.732</v>
      </c>
      <c r="G34" s="62"/>
      <c r="H34" s="62"/>
      <c r="I34" s="33"/>
      <c r="J34" s="62"/>
      <c r="K34" s="8"/>
    </row>
    <row r="35" spans="1:12" ht="14.25">
      <c r="A35" s="58" t="s">
        <v>456</v>
      </c>
      <c r="B35" s="69" t="s">
        <v>67</v>
      </c>
      <c r="C35" s="54" t="s">
        <v>87</v>
      </c>
      <c r="D35" s="107">
        <v>2</v>
      </c>
      <c r="E35" s="170">
        <v>45.05</v>
      </c>
      <c r="F35" s="63">
        <f>E35*D35</f>
        <v>90.1</v>
      </c>
      <c r="G35" s="62"/>
      <c r="H35" s="62"/>
      <c r="I35" s="33"/>
      <c r="J35" s="62"/>
      <c r="K35" s="8"/>
    </row>
    <row r="36" spans="1:12" ht="14.25">
      <c r="A36" s="58" t="s">
        <v>461</v>
      </c>
      <c r="B36" s="112" t="s">
        <v>45</v>
      </c>
      <c r="C36" s="54"/>
      <c r="D36" s="107"/>
      <c r="E36" s="170"/>
      <c r="F36" s="63"/>
      <c r="G36" s="62"/>
      <c r="H36" s="62"/>
      <c r="I36" s="33"/>
      <c r="J36" s="62"/>
      <c r="K36" s="8"/>
    </row>
    <row r="37" spans="1:12">
      <c r="A37" s="50" t="s">
        <v>462</v>
      </c>
      <c r="B37" s="109" t="s">
        <v>55</v>
      </c>
      <c r="C37" s="54" t="s">
        <v>87</v>
      </c>
      <c r="D37" s="107">
        <v>14</v>
      </c>
      <c r="E37" s="170">
        <v>84.49</v>
      </c>
      <c r="F37" s="63">
        <f t="shared" ref="F37:F44" si="2">E37*D37</f>
        <v>1182.8599999999999</v>
      </c>
      <c r="G37" s="62"/>
      <c r="H37" s="62"/>
      <c r="I37" s="33"/>
      <c r="J37" s="62"/>
      <c r="K37" s="301"/>
      <c r="L37" s="26"/>
    </row>
    <row r="38" spans="1:12">
      <c r="A38" s="50" t="s">
        <v>463</v>
      </c>
      <c r="B38" s="109" t="s">
        <v>57</v>
      </c>
      <c r="C38" s="54" t="s">
        <v>87</v>
      </c>
      <c r="D38" s="107">
        <v>2</v>
      </c>
      <c r="E38" s="170">
        <v>80.150000000000006</v>
      </c>
      <c r="F38" s="63">
        <f t="shared" si="2"/>
        <v>160.30000000000001</v>
      </c>
      <c r="G38" s="62"/>
      <c r="H38" s="62"/>
      <c r="I38" s="33"/>
      <c r="J38" s="62"/>
      <c r="K38" s="8"/>
    </row>
    <row r="39" spans="1:12">
      <c r="A39" s="50" t="s">
        <v>464</v>
      </c>
      <c r="B39" s="109" t="s">
        <v>568</v>
      </c>
      <c r="C39" s="54" t="s">
        <v>87</v>
      </c>
      <c r="D39" s="107">
        <v>2</v>
      </c>
      <c r="E39" s="170">
        <v>98.35</v>
      </c>
      <c r="F39" s="63">
        <f t="shared" si="2"/>
        <v>196.7</v>
      </c>
      <c r="G39" s="62"/>
      <c r="H39" s="62"/>
      <c r="I39" s="33"/>
      <c r="J39" s="62"/>
      <c r="K39" s="8"/>
    </row>
    <row r="40" spans="1:12">
      <c r="A40" s="50" t="s">
        <v>465</v>
      </c>
      <c r="B40" s="109" t="s">
        <v>56</v>
      </c>
      <c r="C40" s="54" t="s">
        <v>87</v>
      </c>
      <c r="D40" s="107">
        <v>8</v>
      </c>
      <c r="E40" s="170">
        <v>75.709999999999994</v>
      </c>
      <c r="F40" s="63">
        <f t="shared" si="2"/>
        <v>605.67999999999995</v>
      </c>
      <c r="G40" s="62"/>
      <c r="H40" s="62"/>
      <c r="I40" s="33"/>
      <c r="J40" s="62"/>
      <c r="K40" s="8"/>
    </row>
    <row r="41" spans="1:12">
      <c r="A41" s="50" t="s">
        <v>466</v>
      </c>
      <c r="B41" s="109" t="s">
        <v>219</v>
      </c>
      <c r="C41" s="54" t="s">
        <v>87</v>
      </c>
      <c r="D41" s="107">
        <v>4</v>
      </c>
      <c r="E41" s="170">
        <f>77.55*0.166+43.53*0.37+46.81*0.464</f>
        <v>50.699240000000003</v>
      </c>
      <c r="F41" s="137">
        <f t="shared" si="2"/>
        <v>202.79696000000001</v>
      </c>
      <c r="G41" s="62"/>
      <c r="H41" s="62"/>
      <c r="I41" s="33"/>
      <c r="J41" s="62"/>
      <c r="K41" s="8"/>
    </row>
    <row r="42" spans="1:12">
      <c r="A42" s="50" t="s">
        <v>467</v>
      </c>
      <c r="B42" s="109" t="s">
        <v>222</v>
      </c>
      <c r="C42" s="54" t="s">
        <v>87</v>
      </c>
      <c r="D42" s="107">
        <v>12</v>
      </c>
      <c r="E42" s="170">
        <v>41.88</v>
      </c>
      <c r="F42" s="63">
        <f t="shared" si="2"/>
        <v>502.56000000000006</v>
      </c>
      <c r="G42" s="62"/>
      <c r="H42" s="62"/>
      <c r="I42" s="33"/>
      <c r="J42" s="62"/>
      <c r="K42" s="8"/>
    </row>
    <row r="43" spans="1:12">
      <c r="A43" s="50" t="s">
        <v>487</v>
      </c>
      <c r="B43" s="109" t="s">
        <v>58</v>
      </c>
      <c r="C43" s="54" t="s">
        <v>87</v>
      </c>
      <c r="D43" s="107">
        <v>2</v>
      </c>
      <c r="E43" s="170">
        <v>42.32</v>
      </c>
      <c r="F43" s="63">
        <f t="shared" si="2"/>
        <v>84.64</v>
      </c>
      <c r="G43" s="62"/>
      <c r="H43" s="62"/>
      <c r="I43" s="33"/>
      <c r="J43" s="62"/>
      <c r="K43" s="8"/>
    </row>
    <row r="44" spans="1:12">
      <c r="A44" s="295" t="s">
        <v>488</v>
      </c>
      <c r="B44" s="300" t="s">
        <v>220</v>
      </c>
      <c r="C44" s="298" t="s">
        <v>87</v>
      </c>
      <c r="D44" s="107">
        <v>9</v>
      </c>
      <c r="E44" s="170">
        <f>81.15*0.341+76.88*0.366+113.95*0.293</f>
        <v>89.197580000000002</v>
      </c>
      <c r="F44" s="137">
        <f t="shared" si="2"/>
        <v>802.77822000000003</v>
      </c>
      <c r="G44" s="297"/>
      <c r="H44" s="62"/>
      <c r="I44" s="33"/>
      <c r="J44" s="62"/>
      <c r="K44" s="8"/>
    </row>
    <row r="45" spans="1:12" ht="14.25">
      <c r="A45" s="58" t="s">
        <v>468</v>
      </c>
      <c r="B45" s="69" t="s">
        <v>223</v>
      </c>
      <c r="C45" s="54"/>
      <c r="D45" s="107"/>
      <c r="E45" s="170"/>
      <c r="F45" s="63"/>
      <c r="G45" s="62"/>
      <c r="H45" s="62"/>
      <c r="I45" s="33"/>
      <c r="J45" s="62"/>
      <c r="K45" s="8"/>
    </row>
    <row r="46" spans="1:12">
      <c r="A46" s="50" t="s">
        <v>489</v>
      </c>
      <c r="B46" s="36" t="s">
        <v>64</v>
      </c>
      <c r="C46" s="54" t="s">
        <v>87</v>
      </c>
      <c r="D46" s="107">
        <v>7</v>
      </c>
      <c r="E46" s="170">
        <v>41.19</v>
      </c>
      <c r="F46" s="63">
        <f>E46*D46</f>
        <v>288.33</v>
      </c>
      <c r="G46" s="62"/>
      <c r="H46" s="62"/>
      <c r="I46" s="33"/>
      <c r="J46" s="62"/>
      <c r="K46" s="8"/>
    </row>
    <row r="47" spans="1:12">
      <c r="A47" s="50" t="s">
        <v>490</v>
      </c>
      <c r="B47" s="36" t="s">
        <v>65</v>
      </c>
      <c r="C47" s="54" t="s">
        <v>87</v>
      </c>
      <c r="D47" s="107">
        <v>4</v>
      </c>
      <c r="E47" s="170">
        <v>60.82</v>
      </c>
      <c r="F47" s="63">
        <f>E47*D47</f>
        <v>243.28</v>
      </c>
      <c r="G47" s="62"/>
      <c r="H47" s="62"/>
      <c r="I47" s="33"/>
      <c r="J47" s="62"/>
      <c r="K47" s="8"/>
    </row>
    <row r="48" spans="1:12">
      <c r="A48" s="295" t="s">
        <v>491</v>
      </c>
      <c r="B48" s="291" t="s">
        <v>53</v>
      </c>
      <c r="C48" s="298" t="s">
        <v>87</v>
      </c>
      <c r="D48" s="107">
        <v>2</v>
      </c>
      <c r="E48" s="170">
        <f>41.19*0.312+64.74*0.492+60.82*0.196</f>
        <v>56.624079999999999</v>
      </c>
      <c r="F48" s="137">
        <f>E48*D48</f>
        <v>113.24816</v>
      </c>
      <c r="G48" s="297"/>
      <c r="H48" s="62"/>
      <c r="I48" s="33"/>
      <c r="J48" s="62"/>
      <c r="K48" s="8"/>
    </row>
    <row r="49" spans="1:11" ht="14.25">
      <c r="A49" s="58" t="s">
        <v>469</v>
      </c>
      <c r="B49" s="69" t="s">
        <v>221</v>
      </c>
      <c r="C49" s="54"/>
      <c r="D49" s="107"/>
      <c r="E49" s="170"/>
      <c r="F49" s="63"/>
      <c r="G49" s="62"/>
      <c r="H49" s="62"/>
      <c r="I49" s="33"/>
      <c r="J49" s="62"/>
      <c r="K49" s="8"/>
    </row>
    <row r="50" spans="1:11">
      <c r="A50" s="50" t="s">
        <v>470</v>
      </c>
      <c r="B50" s="36" t="s">
        <v>59</v>
      </c>
      <c r="C50" s="54" t="s">
        <v>87</v>
      </c>
      <c r="D50" s="107">
        <v>60</v>
      </c>
      <c r="E50" s="170">
        <v>15.41</v>
      </c>
      <c r="F50" s="63">
        <f t="shared" ref="F50:F56" si="3">E50*D50</f>
        <v>924.6</v>
      </c>
      <c r="G50" s="62"/>
      <c r="H50" s="62"/>
      <c r="I50" s="33"/>
      <c r="J50" s="62"/>
      <c r="K50" s="8"/>
    </row>
    <row r="51" spans="1:11">
      <c r="A51" s="50" t="s">
        <v>471</v>
      </c>
      <c r="B51" s="36" t="s">
        <v>312</v>
      </c>
      <c r="C51" s="54" t="s">
        <v>87</v>
      </c>
      <c r="D51" s="107">
        <v>65</v>
      </c>
      <c r="E51" s="170">
        <v>15.41</v>
      </c>
      <c r="F51" s="63">
        <f t="shared" si="3"/>
        <v>1001.65</v>
      </c>
      <c r="G51" s="62"/>
      <c r="H51" s="62"/>
      <c r="I51" s="33"/>
      <c r="J51" s="62"/>
      <c r="K51" s="8"/>
    </row>
    <row r="52" spans="1:11">
      <c r="A52" s="50" t="s">
        <v>492</v>
      </c>
      <c r="B52" s="36" t="s">
        <v>60</v>
      </c>
      <c r="C52" s="54" t="s">
        <v>87</v>
      </c>
      <c r="D52" s="107">
        <v>5</v>
      </c>
      <c r="E52" s="170">
        <v>134.44999999999999</v>
      </c>
      <c r="F52" s="63">
        <f t="shared" si="3"/>
        <v>672.25</v>
      </c>
      <c r="G52" s="62"/>
      <c r="H52" s="62"/>
      <c r="I52" s="33"/>
      <c r="J52" s="62"/>
      <c r="K52" s="8"/>
    </row>
    <row r="53" spans="1:11">
      <c r="A53" s="50" t="s">
        <v>493</v>
      </c>
      <c r="B53" s="36" t="s">
        <v>63</v>
      </c>
      <c r="C53" s="54" t="s">
        <v>87</v>
      </c>
      <c r="D53" s="108">
        <v>3.5</v>
      </c>
      <c r="E53" s="170">
        <v>130.97</v>
      </c>
      <c r="F53" s="63">
        <f t="shared" si="3"/>
        <v>458.39499999999998</v>
      </c>
      <c r="G53" s="62"/>
      <c r="H53" s="62"/>
      <c r="I53" s="33"/>
      <c r="J53" s="62"/>
      <c r="K53" s="8"/>
    </row>
    <row r="54" spans="1:11">
      <c r="A54" s="50" t="s">
        <v>494</v>
      </c>
      <c r="B54" s="36" t="s">
        <v>321</v>
      </c>
      <c r="C54" s="54" t="s">
        <v>87</v>
      </c>
      <c r="D54" s="107">
        <v>10</v>
      </c>
      <c r="E54" s="170">
        <v>71.39</v>
      </c>
      <c r="F54" s="63">
        <f t="shared" si="3"/>
        <v>713.9</v>
      </c>
      <c r="G54" s="62"/>
      <c r="H54" s="62"/>
      <c r="I54" s="33"/>
      <c r="J54" s="62"/>
      <c r="K54" s="8"/>
    </row>
    <row r="55" spans="1:11">
      <c r="A55" s="50" t="s">
        <v>495</v>
      </c>
      <c r="B55" s="36" t="s">
        <v>62</v>
      </c>
      <c r="C55" s="54" t="s">
        <v>87</v>
      </c>
      <c r="D55" s="107">
        <v>5</v>
      </c>
      <c r="E55" s="170">
        <v>42.59</v>
      </c>
      <c r="F55" s="63">
        <f t="shared" si="3"/>
        <v>212.95000000000002</v>
      </c>
      <c r="G55" s="62"/>
      <c r="H55" s="62"/>
      <c r="I55" s="33"/>
      <c r="J55" s="62"/>
      <c r="K55" s="8"/>
    </row>
    <row r="56" spans="1:11" ht="14.25">
      <c r="A56" s="98" t="s">
        <v>472</v>
      </c>
      <c r="B56" s="89" t="s">
        <v>351</v>
      </c>
      <c r="C56" s="105" t="s">
        <v>88</v>
      </c>
      <c r="D56" s="113">
        <v>220</v>
      </c>
      <c r="E56" s="306">
        <f>22.13/10</f>
        <v>2.2130000000000001</v>
      </c>
      <c r="F56" s="100">
        <f t="shared" si="3"/>
        <v>486.86</v>
      </c>
      <c r="G56" s="68"/>
      <c r="H56" s="62"/>
      <c r="I56" s="33"/>
      <c r="J56" s="62"/>
      <c r="K56" s="8"/>
    </row>
    <row r="57" spans="1:11" ht="14.25">
      <c r="A57" s="66" t="s">
        <v>374</v>
      </c>
      <c r="B57" s="33"/>
      <c r="C57" s="33"/>
      <c r="D57" s="33"/>
      <c r="E57" s="33"/>
      <c r="F57" s="307">
        <f>SUM(F9:F56)</f>
        <v>14691.382620470002</v>
      </c>
      <c r="G57" s="62"/>
      <c r="H57" s="172"/>
      <c r="I57" s="33"/>
      <c r="J57" s="305"/>
      <c r="K57" s="8"/>
    </row>
    <row r="58" spans="1:11" ht="14.25">
      <c r="A58" s="114" t="s">
        <v>375</v>
      </c>
      <c r="B58" s="75"/>
      <c r="C58" s="75"/>
      <c r="D58" s="75"/>
      <c r="E58" s="75"/>
      <c r="F58" s="308">
        <f>F57/12</f>
        <v>1224.2818850391668</v>
      </c>
      <c r="G58" s="46"/>
      <c r="H58" s="172"/>
      <c r="I58" s="33"/>
      <c r="J58" s="305"/>
      <c r="K58" s="301"/>
    </row>
    <row r="59" spans="1:11">
      <c r="G59" s="46"/>
      <c r="H59" s="46"/>
      <c r="I59" s="33"/>
      <c r="J59" s="33"/>
      <c r="K59" s="8"/>
    </row>
    <row r="60" spans="1:11">
      <c r="A60"/>
      <c r="G60"/>
      <c r="H60"/>
      <c r="I60"/>
      <c r="J60"/>
    </row>
    <row r="61" spans="1:11">
      <c r="A61"/>
      <c r="G61"/>
      <c r="H61"/>
      <c r="I61"/>
      <c r="J61"/>
    </row>
    <row r="62" spans="1:11">
      <c r="A62"/>
      <c r="G62"/>
      <c r="H62"/>
      <c r="I62"/>
      <c r="J62"/>
    </row>
    <row r="63" spans="1:11">
      <c r="A63"/>
      <c r="G63"/>
      <c r="H63"/>
      <c r="I63"/>
      <c r="J63"/>
    </row>
  </sheetData>
  <mergeCells count="1">
    <mergeCell ref="A1:F1"/>
  </mergeCells>
  <phoneticPr fontId="30" type="noConversion"/>
  <pageMargins left="1.26" right="0.24" top="0.35" bottom="0.6" header="0.37" footer="0.5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2"/>
  <sheetViews>
    <sheetView topLeftCell="A7" zoomScale="80" workbookViewId="0">
      <selection activeCell="E12" sqref="E12:E55"/>
    </sheetView>
  </sheetViews>
  <sheetFormatPr defaultRowHeight="12.75"/>
  <cols>
    <col min="1" max="1" width="6" style="24" customWidth="1"/>
    <col min="2" max="2" width="21.5703125" customWidth="1"/>
    <col min="3" max="3" width="7.85546875" customWidth="1"/>
    <col min="4" max="4" width="15.85546875" customWidth="1"/>
    <col min="5" max="5" width="12.28515625" customWidth="1"/>
    <col min="6" max="6" width="10.42578125" customWidth="1"/>
    <col min="7" max="7" width="7.85546875" customWidth="1"/>
    <col min="8" max="31" width="4.7109375" customWidth="1"/>
  </cols>
  <sheetData>
    <row r="1" spans="1:11" ht="15.75">
      <c r="A1" s="414" t="s">
        <v>421</v>
      </c>
      <c r="B1" s="414"/>
      <c r="C1" s="414"/>
      <c r="D1" s="414"/>
      <c r="E1" s="414"/>
      <c r="F1" s="414"/>
      <c r="J1" s="8"/>
      <c r="K1" s="8"/>
    </row>
    <row r="2" spans="1:11" ht="15.75">
      <c r="A2" s="414" t="s">
        <v>422</v>
      </c>
      <c r="B2" s="414"/>
      <c r="C2" s="414"/>
      <c r="D2" s="414"/>
      <c r="E2" s="414"/>
      <c r="F2" s="414"/>
      <c r="J2" s="8"/>
      <c r="K2" s="8"/>
    </row>
    <row r="3" spans="1:11" ht="15.75">
      <c r="A3" s="101"/>
      <c r="B3" s="74"/>
      <c r="C3" s="102"/>
      <c r="D3" s="102"/>
      <c r="E3" s="102"/>
      <c r="F3" s="87"/>
      <c r="J3" s="8"/>
      <c r="K3" s="8"/>
    </row>
    <row r="4" spans="1:11">
      <c r="A4" s="81" t="s">
        <v>42</v>
      </c>
      <c r="B4" s="224" t="s">
        <v>99</v>
      </c>
      <c r="C4" s="82" t="s">
        <v>92</v>
      </c>
      <c r="D4" s="83" t="s">
        <v>97</v>
      </c>
      <c r="E4" s="83" t="s">
        <v>94</v>
      </c>
      <c r="F4" s="82" t="s">
        <v>107</v>
      </c>
      <c r="J4" s="8"/>
      <c r="K4" s="8"/>
    </row>
    <row r="5" spans="1:11">
      <c r="A5" s="222" t="s">
        <v>373</v>
      </c>
      <c r="B5" s="84" t="s">
        <v>304</v>
      </c>
      <c r="C5" s="80" t="s">
        <v>81</v>
      </c>
      <c r="D5" s="243" t="s">
        <v>632</v>
      </c>
      <c r="E5" s="243" t="s">
        <v>95</v>
      </c>
      <c r="F5" s="80" t="s">
        <v>105</v>
      </c>
      <c r="J5" s="8"/>
      <c r="K5" s="8"/>
    </row>
    <row r="6" spans="1:11" ht="13.5" customHeight="1">
      <c r="A6" s="225"/>
      <c r="B6" s="227"/>
      <c r="C6" s="80"/>
      <c r="D6" s="243" t="s">
        <v>633</v>
      </c>
      <c r="E6" s="243" t="s">
        <v>671</v>
      </c>
      <c r="F6" s="80"/>
      <c r="J6" s="8"/>
      <c r="K6" s="8"/>
    </row>
    <row r="7" spans="1:11" ht="11.25" customHeight="1">
      <c r="A7" s="225"/>
      <c r="B7" s="248"/>
      <c r="C7" s="243"/>
      <c r="D7" s="80"/>
      <c r="E7" s="243" t="s">
        <v>669</v>
      </c>
      <c r="F7" s="80"/>
      <c r="J7" s="8"/>
      <c r="K7" s="8"/>
    </row>
    <row r="8" spans="1:11" ht="9" customHeight="1">
      <c r="A8" s="225"/>
      <c r="B8" s="226"/>
      <c r="C8" s="243"/>
      <c r="D8" s="243"/>
      <c r="E8" s="243"/>
      <c r="F8" s="80"/>
      <c r="J8" s="8"/>
      <c r="K8" s="8"/>
    </row>
    <row r="9" spans="1:11">
      <c r="A9" s="229"/>
      <c r="B9" s="277"/>
      <c r="C9" s="278"/>
      <c r="D9" s="278"/>
      <c r="E9" s="278" t="s">
        <v>660</v>
      </c>
      <c r="F9" s="124" t="s">
        <v>660</v>
      </c>
      <c r="J9" s="8"/>
      <c r="K9" s="8"/>
    </row>
    <row r="10" spans="1:11">
      <c r="A10" s="81"/>
      <c r="B10" s="83"/>
      <c r="C10" s="83"/>
      <c r="D10" s="116"/>
      <c r="E10" s="83"/>
      <c r="F10" s="82"/>
      <c r="J10" s="8"/>
      <c r="K10" s="8"/>
    </row>
    <row r="11" spans="1:11" ht="14.25">
      <c r="A11" s="58">
        <v>1</v>
      </c>
      <c r="B11" s="69" t="s">
        <v>315</v>
      </c>
      <c r="C11" s="54"/>
      <c r="D11" s="49"/>
      <c r="E11" s="54"/>
      <c r="F11" s="49"/>
      <c r="J11" s="8"/>
      <c r="K11" s="8"/>
    </row>
    <row r="12" spans="1:11">
      <c r="A12" s="50" t="s">
        <v>427</v>
      </c>
      <c r="B12" s="36" t="s">
        <v>119</v>
      </c>
      <c r="C12" s="54" t="s">
        <v>87</v>
      </c>
      <c r="D12" s="49">
        <v>0.3</v>
      </c>
      <c r="E12" s="170">
        <v>9.9600000000000009</v>
      </c>
      <c r="F12" s="63">
        <f t="shared" ref="F12:F24" si="0">E12*D12</f>
        <v>2.988</v>
      </c>
      <c r="J12" s="8"/>
      <c r="K12" s="8"/>
    </row>
    <row r="13" spans="1:11">
      <c r="A13" s="50" t="s">
        <v>428</v>
      </c>
      <c r="B13" s="36" t="s">
        <v>120</v>
      </c>
      <c r="C13" s="54" t="s">
        <v>87</v>
      </c>
      <c r="D13" s="49">
        <v>8.8000000000000007</v>
      </c>
      <c r="E13" s="170">
        <v>9.15</v>
      </c>
      <c r="F13" s="63">
        <f t="shared" si="0"/>
        <v>80.52000000000001</v>
      </c>
      <c r="J13" s="8"/>
      <c r="K13" s="8"/>
    </row>
    <row r="14" spans="1:11">
      <c r="A14" s="50" t="s">
        <v>429</v>
      </c>
      <c r="B14" s="36" t="s">
        <v>49</v>
      </c>
      <c r="C14" s="54" t="s">
        <v>87</v>
      </c>
      <c r="D14" s="67">
        <v>38</v>
      </c>
      <c r="E14" s="170">
        <v>12.06</v>
      </c>
      <c r="F14" s="63">
        <f t="shared" si="0"/>
        <v>458.28000000000003</v>
      </c>
      <c r="G14" s="26"/>
      <c r="J14" s="8"/>
      <c r="K14" s="8"/>
    </row>
    <row r="15" spans="1:11">
      <c r="A15" s="50" t="s">
        <v>430</v>
      </c>
      <c r="B15" s="36" t="s">
        <v>48</v>
      </c>
      <c r="C15" s="54" t="s">
        <v>87</v>
      </c>
      <c r="D15" s="67">
        <v>62</v>
      </c>
      <c r="E15" s="170">
        <v>12.76</v>
      </c>
      <c r="F15" s="63">
        <f t="shared" si="0"/>
        <v>791.12</v>
      </c>
      <c r="J15" s="8"/>
      <c r="K15" s="8"/>
    </row>
    <row r="16" spans="1:11">
      <c r="A16" s="50" t="s">
        <v>431</v>
      </c>
      <c r="B16" s="36" t="s">
        <v>50</v>
      </c>
      <c r="C16" s="54" t="s">
        <v>87</v>
      </c>
      <c r="D16" s="49">
        <v>4.0999999999999996</v>
      </c>
      <c r="E16" s="170">
        <v>15.59</v>
      </c>
      <c r="F16" s="63">
        <f t="shared" si="0"/>
        <v>63.918999999999997</v>
      </c>
      <c r="J16" s="8"/>
      <c r="K16" s="8"/>
    </row>
    <row r="17" spans="1:11">
      <c r="A17" s="50" t="s">
        <v>432</v>
      </c>
      <c r="B17" s="36" t="s">
        <v>47</v>
      </c>
      <c r="C17" s="54" t="s">
        <v>87</v>
      </c>
      <c r="D17" s="49">
        <v>2.2999999999999998</v>
      </c>
      <c r="E17" s="170">
        <v>22.11</v>
      </c>
      <c r="F17" s="63">
        <f t="shared" si="0"/>
        <v>50.852999999999994</v>
      </c>
      <c r="J17" s="8"/>
      <c r="K17" s="8"/>
    </row>
    <row r="18" spans="1:11">
      <c r="A18" s="50" t="s">
        <v>433</v>
      </c>
      <c r="B18" s="36" t="s">
        <v>121</v>
      </c>
      <c r="C18" s="54" t="s">
        <v>87</v>
      </c>
      <c r="D18" s="49">
        <v>0.9</v>
      </c>
      <c r="E18" s="170">
        <v>11.38</v>
      </c>
      <c r="F18" s="63">
        <f t="shared" si="0"/>
        <v>10.242000000000001</v>
      </c>
      <c r="J18" s="8"/>
      <c r="K18" s="8"/>
    </row>
    <row r="19" spans="1:11">
      <c r="A19" s="50" t="s">
        <v>434</v>
      </c>
      <c r="B19" s="36" t="s">
        <v>122</v>
      </c>
      <c r="C19" s="54" t="s">
        <v>87</v>
      </c>
      <c r="D19" s="49">
        <v>0.9</v>
      </c>
      <c r="E19" s="170">
        <v>10.130000000000001</v>
      </c>
      <c r="F19" s="63">
        <f t="shared" si="0"/>
        <v>9.1170000000000009</v>
      </c>
      <c r="J19" s="8"/>
      <c r="K19" s="8"/>
    </row>
    <row r="20" spans="1:11">
      <c r="A20" s="50" t="s">
        <v>435</v>
      </c>
      <c r="B20" s="36" t="s">
        <v>123</v>
      </c>
      <c r="C20" s="54" t="s">
        <v>87</v>
      </c>
      <c r="D20" s="67">
        <v>2</v>
      </c>
      <c r="E20" s="170">
        <v>34.369999999999997</v>
      </c>
      <c r="F20" s="63">
        <f t="shared" si="0"/>
        <v>68.739999999999995</v>
      </c>
      <c r="J20" s="8"/>
      <c r="K20" s="8"/>
    </row>
    <row r="21" spans="1:11">
      <c r="A21" s="50" t="s">
        <v>436</v>
      </c>
      <c r="B21" s="36" t="s">
        <v>124</v>
      </c>
      <c r="C21" s="54" t="s">
        <v>87</v>
      </c>
      <c r="D21" s="49">
        <v>1.1000000000000001</v>
      </c>
      <c r="E21" s="170">
        <v>23.03</v>
      </c>
      <c r="F21" s="63">
        <f t="shared" si="0"/>
        <v>25.333000000000002</v>
      </c>
      <c r="J21" s="8"/>
      <c r="K21" s="8"/>
    </row>
    <row r="22" spans="1:11">
      <c r="A22" s="50" t="s">
        <v>437</v>
      </c>
      <c r="B22" s="36" t="s">
        <v>46</v>
      </c>
      <c r="C22" s="54" t="s">
        <v>87</v>
      </c>
      <c r="D22" s="49">
        <v>1.9</v>
      </c>
      <c r="E22" s="170">
        <v>14.37</v>
      </c>
      <c r="F22" s="63">
        <f t="shared" si="0"/>
        <v>27.302999999999997</v>
      </c>
      <c r="J22" s="8"/>
      <c r="K22" s="8"/>
    </row>
    <row r="23" spans="1:11">
      <c r="A23" s="50" t="s">
        <v>496</v>
      </c>
      <c r="B23" s="55" t="s">
        <v>53</v>
      </c>
      <c r="C23" s="54" t="s">
        <v>87</v>
      </c>
      <c r="D23" s="49">
        <v>0.6</v>
      </c>
      <c r="E23" s="170">
        <v>8.75</v>
      </c>
      <c r="F23" s="137">
        <f t="shared" si="0"/>
        <v>5.25</v>
      </c>
      <c r="J23" s="8"/>
      <c r="K23" s="8"/>
    </row>
    <row r="24" spans="1:11" ht="14.25">
      <c r="A24" s="58" t="s">
        <v>438</v>
      </c>
      <c r="B24" s="69" t="s">
        <v>43</v>
      </c>
      <c r="C24" s="54" t="s">
        <v>87</v>
      </c>
      <c r="D24" s="67">
        <v>108</v>
      </c>
      <c r="E24" s="170">
        <v>4.83</v>
      </c>
      <c r="F24" s="63">
        <f t="shared" si="0"/>
        <v>521.64</v>
      </c>
      <c r="J24" s="8"/>
      <c r="K24" s="8"/>
    </row>
    <row r="25" spans="1:11" ht="14.25">
      <c r="A25" s="58" t="s">
        <v>439</v>
      </c>
      <c r="B25" s="69" t="s">
        <v>564</v>
      </c>
      <c r="C25" s="54"/>
      <c r="D25" s="49"/>
      <c r="E25" s="331"/>
      <c r="F25" s="49"/>
      <c r="J25" s="8"/>
      <c r="K25" s="8"/>
    </row>
    <row r="26" spans="1:11">
      <c r="A26" s="50" t="s">
        <v>481</v>
      </c>
      <c r="B26" s="36" t="s">
        <v>52</v>
      </c>
      <c r="C26" s="54" t="s">
        <v>87</v>
      </c>
      <c r="D26" s="49">
        <v>27.5</v>
      </c>
      <c r="E26" s="331">
        <v>3.8</v>
      </c>
      <c r="F26" s="63">
        <f t="shared" ref="F26:F31" si="1">E26*D26</f>
        <v>104.5</v>
      </c>
      <c r="J26" s="8"/>
      <c r="K26" s="8"/>
    </row>
    <row r="27" spans="1:11">
      <c r="A27" s="50" t="s">
        <v>482</v>
      </c>
      <c r="B27" s="36" t="s">
        <v>565</v>
      </c>
      <c r="C27" s="54" t="s">
        <v>87</v>
      </c>
      <c r="D27" s="67">
        <v>22</v>
      </c>
      <c r="E27" s="331">
        <f>21.04*0.563+29.84*0.437</f>
        <v>24.885599999999997</v>
      </c>
      <c r="F27" s="137">
        <f t="shared" si="1"/>
        <v>547.4831999999999</v>
      </c>
      <c r="J27" s="8"/>
      <c r="K27" s="8"/>
    </row>
    <row r="28" spans="1:11">
      <c r="A28" s="50" t="s">
        <v>483</v>
      </c>
      <c r="B28" s="36" t="s">
        <v>566</v>
      </c>
      <c r="C28" s="54" t="s">
        <v>87</v>
      </c>
      <c r="D28" s="67">
        <v>16</v>
      </c>
      <c r="E28" s="331">
        <f>(4.5+3.92)/2</f>
        <v>4.21</v>
      </c>
      <c r="F28" s="137">
        <f t="shared" si="1"/>
        <v>67.36</v>
      </c>
      <c r="J28" s="8"/>
      <c r="K28" s="8"/>
    </row>
    <row r="29" spans="1:11">
      <c r="A29" s="50" t="s">
        <v>484</v>
      </c>
      <c r="B29" s="36" t="s">
        <v>125</v>
      </c>
      <c r="C29" s="54" t="s">
        <v>87</v>
      </c>
      <c r="D29" s="67">
        <v>8</v>
      </c>
      <c r="E29" s="331">
        <f>4.49*0.937+90.4*0.063</f>
        <v>9.902330000000001</v>
      </c>
      <c r="F29" s="137">
        <f t="shared" si="1"/>
        <v>79.218640000000008</v>
      </c>
      <c r="J29" s="8"/>
      <c r="K29" s="8"/>
    </row>
    <row r="30" spans="1:11">
      <c r="A30" s="50" t="s">
        <v>485</v>
      </c>
      <c r="B30" s="36" t="s">
        <v>51</v>
      </c>
      <c r="C30" s="54" t="s">
        <v>87</v>
      </c>
      <c r="D30" s="99">
        <v>14.5</v>
      </c>
      <c r="E30" s="331">
        <v>4.8600000000000003</v>
      </c>
      <c r="F30" s="63">
        <f t="shared" si="1"/>
        <v>70.47</v>
      </c>
      <c r="J30" s="8"/>
      <c r="K30" s="8"/>
    </row>
    <row r="31" spans="1:11">
      <c r="A31" s="50" t="s">
        <v>486</v>
      </c>
      <c r="B31" s="36" t="s">
        <v>53</v>
      </c>
      <c r="C31" s="54" t="s">
        <v>87</v>
      </c>
      <c r="D31" s="67">
        <v>10</v>
      </c>
      <c r="E31" s="331">
        <f>E26*0.222+E27*0.394+E28*0.164+E29*0.163+E30*0.057</f>
        <v>13.230066190000001</v>
      </c>
      <c r="F31" s="137">
        <f t="shared" si="1"/>
        <v>132.30066189999999</v>
      </c>
      <c r="J31" s="8"/>
      <c r="K31" s="8"/>
    </row>
    <row r="32" spans="1:11" ht="14.25">
      <c r="A32" s="58" t="s">
        <v>440</v>
      </c>
      <c r="B32" s="69" t="s">
        <v>66</v>
      </c>
      <c r="C32" s="54"/>
      <c r="D32" s="49"/>
      <c r="E32" s="331"/>
      <c r="F32" s="63"/>
      <c r="J32" s="8"/>
      <c r="K32" s="8"/>
    </row>
    <row r="33" spans="1:11">
      <c r="A33" s="50" t="s">
        <v>441</v>
      </c>
      <c r="B33" s="36" t="s">
        <v>567</v>
      </c>
      <c r="C33" s="54" t="s">
        <v>87</v>
      </c>
      <c r="D33" s="67">
        <v>31</v>
      </c>
      <c r="E33" s="170">
        <f>11.21*0.505+11.21*0.2+11.21*0.204+46.72*0.091</f>
        <v>14.441410000000001</v>
      </c>
      <c r="F33" s="137">
        <f>E33*D33</f>
        <v>447.68371000000002</v>
      </c>
      <c r="J33" s="8"/>
      <c r="K33" s="8"/>
    </row>
    <row r="34" spans="1:11">
      <c r="A34" s="50" t="s">
        <v>442</v>
      </c>
      <c r="B34" s="36" t="s">
        <v>54</v>
      </c>
      <c r="C34" s="54" t="s">
        <v>87</v>
      </c>
      <c r="D34" s="99">
        <v>1.8</v>
      </c>
      <c r="E34" s="170">
        <v>110.06</v>
      </c>
      <c r="F34" s="63">
        <f>E34*D34</f>
        <v>198.108</v>
      </c>
      <c r="J34" s="8"/>
      <c r="K34" s="8"/>
    </row>
    <row r="35" spans="1:11" ht="14.25">
      <c r="A35" s="58" t="s">
        <v>448</v>
      </c>
      <c r="B35" s="69" t="s">
        <v>350</v>
      </c>
      <c r="C35" s="298" t="s">
        <v>87</v>
      </c>
      <c r="D35" s="49">
        <v>22.5</v>
      </c>
      <c r="E35" s="170">
        <f>17.78*0.548+41.15*0.358+53.03*0.094</f>
        <v>29.459959999999999</v>
      </c>
      <c r="F35" s="137">
        <f>E35*D35</f>
        <v>662.84910000000002</v>
      </c>
      <c r="J35" s="8"/>
      <c r="K35" s="8"/>
    </row>
    <row r="36" spans="1:11" ht="14.25">
      <c r="A36" s="58" t="s">
        <v>455</v>
      </c>
      <c r="B36" s="69" t="s">
        <v>68</v>
      </c>
      <c r="C36" s="54" t="s">
        <v>87</v>
      </c>
      <c r="D36" s="49">
        <v>6.7</v>
      </c>
      <c r="E36" s="170">
        <v>32.92</v>
      </c>
      <c r="F36" s="63">
        <f>E36*D36</f>
        <v>220.56400000000002</v>
      </c>
      <c r="J36" s="8"/>
      <c r="K36" s="8"/>
    </row>
    <row r="37" spans="1:11" ht="14.25">
      <c r="A37" s="58" t="s">
        <v>456</v>
      </c>
      <c r="B37" s="69" t="s">
        <v>67</v>
      </c>
      <c r="C37" s="54" t="s">
        <v>87</v>
      </c>
      <c r="D37" s="49">
        <v>1.5</v>
      </c>
      <c r="E37" s="170">
        <v>45.05</v>
      </c>
      <c r="F37" s="63">
        <f>E37*D37</f>
        <v>67.574999999999989</v>
      </c>
      <c r="J37" s="8"/>
      <c r="K37" s="8"/>
    </row>
    <row r="38" spans="1:11" ht="14.25">
      <c r="A38" s="58" t="s">
        <v>461</v>
      </c>
      <c r="B38" s="69" t="s">
        <v>45</v>
      </c>
      <c r="C38" s="54"/>
      <c r="D38" s="49"/>
      <c r="E38" s="170"/>
      <c r="F38" s="49"/>
      <c r="J38" s="8"/>
      <c r="K38" s="8"/>
    </row>
    <row r="39" spans="1:11">
      <c r="A39" s="50" t="s">
        <v>462</v>
      </c>
      <c r="B39" s="36" t="s">
        <v>55</v>
      </c>
      <c r="C39" s="54" t="s">
        <v>87</v>
      </c>
      <c r="D39" s="67">
        <v>12</v>
      </c>
      <c r="E39" s="170">
        <v>84.49</v>
      </c>
      <c r="F39" s="63">
        <f t="shared" ref="F39:F45" si="2">E39*D39</f>
        <v>1013.8799999999999</v>
      </c>
      <c r="J39" s="301"/>
      <c r="K39" s="8"/>
    </row>
    <row r="40" spans="1:11">
      <c r="A40" s="50" t="s">
        <v>463</v>
      </c>
      <c r="B40" s="36" t="s">
        <v>57</v>
      </c>
      <c r="C40" s="54" t="s">
        <v>87</v>
      </c>
      <c r="D40" s="99">
        <v>0.9</v>
      </c>
      <c r="E40" s="170">
        <v>80.150000000000006</v>
      </c>
      <c r="F40" s="63">
        <f t="shared" si="2"/>
        <v>72.135000000000005</v>
      </c>
      <c r="J40" s="8"/>
      <c r="K40" s="8"/>
    </row>
    <row r="41" spans="1:11">
      <c r="A41" s="50" t="s">
        <v>464</v>
      </c>
      <c r="B41" s="36" t="s">
        <v>56</v>
      </c>
      <c r="C41" s="54" t="s">
        <v>87</v>
      </c>
      <c r="D41" s="99">
        <v>9.5</v>
      </c>
      <c r="E41" s="170">
        <v>75.709999999999994</v>
      </c>
      <c r="F41" s="63">
        <f t="shared" si="2"/>
        <v>719.24499999999989</v>
      </c>
      <c r="J41" s="8"/>
      <c r="K41" s="8"/>
    </row>
    <row r="42" spans="1:11">
      <c r="A42" s="50" t="s">
        <v>465</v>
      </c>
      <c r="B42" s="36" t="s">
        <v>126</v>
      </c>
      <c r="C42" s="54" t="s">
        <v>87</v>
      </c>
      <c r="D42" s="67">
        <v>2</v>
      </c>
      <c r="E42" s="170">
        <f>77.55*0.166+43.53*0.37+46.81*0.464</f>
        <v>50.699240000000003</v>
      </c>
      <c r="F42" s="137">
        <f t="shared" si="2"/>
        <v>101.39848000000001</v>
      </c>
      <c r="J42" s="8"/>
      <c r="K42" s="8"/>
    </row>
    <row r="43" spans="1:11">
      <c r="A43" s="50" t="s">
        <v>466</v>
      </c>
      <c r="B43" s="36" t="s">
        <v>222</v>
      </c>
      <c r="C43" s="54" t="s">
        <v>87</v>
      </c>
      <c r="D43" s="67">
        <v>5</v>
      </c>
      <c r="E43" s="170">
        <v>41.88</v>
      </c>
      <c r="F43" s="63">
        <f t="shared" si="2"/>
        <v>209.4</v>
      </c>
      <c r="J43" s="8"/>
      <c r="K43" s="8"/>
    </row>
    <row r="44" spans="1:11">
      <c r="A44" s="50" t="s">
        <v>467</v>
      </c>
      <c r="B44" s="36" t="s">
        <v>58</v>
      </c>
      <c r="C44" s="54" t="s">
        <v>87</v>
      </c>
      <c r="D44" s="67">
        <v>2</v>
      </c>
      <c r="E44" s="170">
        <v>42.32</v>
      </c>
      <c r="F44" s="63">
        <f t="shared" si="2"/>
        <v>84.64</v>
      </c>
      <c r="J44" s="8"/>
      <c r="K44" s="8"/>
    </row>
    <row r="45" spans="1:11">
      <c r="A45" s="50" t="s">
        <v>487</v>
      </c>
      <c r="B45" s="36" t="s">
        <v>220</v>
      </c>
      <c r="C45" s="54" t="s">
        <v>87</v>
      </c>
      <c r="D45" s="99">
        <v>6.6</v>
      </c>
      <c r="E45" s="170">
        <f>81.15*0.341+76.88*0.366+113.95*0.293</f>
        <v>89.197580000000002</v>
      </c>
      <c r="F45" s="137">
        <f t="shared" si="2"/>
        <v>588.70402799999999</v>
      </c>
      <c r="J45" s="8"/>
      <c r="K45" s="8"/>
    </row>
    <row r="46" spans="1:11" ht="14.25">
      <c r="A46" s="58" t="s">
        <v>468</v>
      </c>
      <c r="B46" s="69" t="s">
        <v>223</v>
      </c>
      <c r="C46" s="54"/>
      <c r="D46" s="49"/>
      <c r="E46" s="170"/>
      <c r="F46" s="63"/>
      <c r="J46" s="8"/>
      <c r="K46" s="8"/>
    </row>
    <row r="47" spans="1:11">
      <c r="A47" s="50" t="s">
        <v>489</v>
      </c>
      <c r="B47" s="36" t="s">
        <v>64</v>
      </c>
      <c r="C47" s="54" t="s">
        <v>87</v>
      </c>
      <c r="D47" s="49">
        <v>2.5</v>
      </c>
      <c r="E47" s="170">
        <v>41.19</v>
      </c>
      <c r="F47" s="63">
        <f>E47*D47</f>
        <v>102.97499999999999</v>
      </c>
      <c r="J47" s="8"/>
      <c r="K47" s="8"/>
    </row>
    <row r="48" spans="1:11">
      <c r="A48" s="50" t="s">
        <v>490</v>
      </c>
      <c r="B48" s="36" t="s">
        <v>65</v>
      </c>
      <c r="C48" s="54" t="s">
        <v>87</v>
      </c>
      <c r="D48" s="49">
        <v>0.7</v>
      </c>
      <c r="E48" s="170">
        <v>60.82</v>
      </c>
      <c r="F48" s="63">
        <f>E48*D48</f>
        <v>42.573999999999998</v>
      </c>
      <c r="J48" s="8"/>
      <c r="K48" s="8"/>
    </row>
    <row r="49" spans="1:11" ht="14.25">
      <c r="A49" s="58" t="s">
        <v>469</v>
      </c>
      <c r="B49" s="69" t="s">
        <v>221</v>
      </c>
      <c r="C49" s="54"/>
      <c r="D49" s="49"/>
      <c r="E49" s="170"/>
      <c r="F49" s="49"/>
      <c r="J49" s="8"/>
      <c r="K49" s="8"/>
    </row>
    <row r="50" spans="1:11">
      <c r="A50" s="50" t="s">
        <v>470</v>
      </c>
      <c r="B50" s="36" t="s">
        <v>59</v>
      </c>
      <c r="C50" s="54" t="s">
        <v>87</v>
      </c>
      <c r="D50" s="67">
        <v>83</v>
      </c>
      <c r="E50" s="170">
        <v>15.41</v>
      </c>
      <c r="F50" s="63">
        <f t="shared" ref="F50:F55" si="3">E50*D50</f>
        <v>1279.03</v>
      </c>
      <c r="J50" s="8"/>
      <c r="K50" s="8"/>
    </row>
    <row r="51" spans="1:11">
      <c r="A51" s="50" t="s">
        <v>471</v>
      </c>
      <c r="B51" s="36" t="s">
        <v>224</v>
      </c>
      <c r="C51" s="54" t="s">
        <v>87</v>
      </c>
      <c r="D51" s="67">
        <v>22</v>
      </c>
      <c r="E51" s="331">
        <f>15.41*0.018+18.22*0.982</f>
        <v>18.169419999999999</v>
      </c>
      <c r="F51" s="63">
        <f t="shared" si="3"/>
        <v>399.72723999999999</v>
      </c>
      <c r="J51" s="8"/>
      <c r="K51" s="8"/>
    </row>
    <row r="52" spans="1:11">
      <c r="A52" s="50" t="s">
        <v>492</v>
      </c>
      <c r="B52" s="36" t="s">
        <v>60</v>
      </c>
      <c r="C52" s="54" t="s">
        <v>87</v>
      </c>
      <c r="D52" s="49">
        <v>3.9</v>
      </c>
      <c r="E52" s="170">
        <v>134.44999999999999</v>
      </c>
      <c r="F52" s="63">
        <f t="shared" si="3"/>
        <v>524.3549999999999</v>
      </c>
      <c r="J52" s="8"/>
      <c r="K52" s="8"/>
    </row>
    <row r="53" spans="1:11">
      <c r="A53" s="50" t="s">
        <v>493</v>
      </c>
      <c r="B53" s="36" t="s">
        <v>321</v>
      </c>
      <c r="C53" s="54" t="s">
        <v>87</v>
      </c>
      <c r="D53" s="49">
        <v>7.6</v>
      </c>
      <c r="E53" s="170">
        <v>71.39</v>
      </c>
      <c r="F53" s="63">
        <f t="shared" si="3"/>
        <v>542.56399999999996</v>
      </c>
      <c r="J53" s="8"/>
      <c r="K53" s="8"/>
    </row>
    <row r="54" spans="1:11">
      <c r="A54" s="50" t="s">
        <v>494</v>
      </c>
      <c r="B54" s="36" t="s">
        <v>62</v>
      </c>
      <c r="C54" s="54" t="s">
        <v>87</v>
      </c>
      <c r="D54" s="67">
        <v>4</v>
      </c>
      <c r="E54" s="170">
        <v>42.59</v>
      </c>
      <c r="F54" s="63">
        <f t="shared" si="3"/>
        <v>170.36</v>
      </c>
      <c r="J54" s="8"/>
      <c r="K54" s="8"/>
    </row>
    <row r="55" spans="1:11" ht="14.25">
      <c r="A55" s="58" t="s">
        <v>472</v>
      </c>
      <c r="B55" s="69" t="s">
        <v>351</v>
      </c>
      <c r="C55" s="54" t="s">
        <v>88</v>
      </c>
      <c r="D55" s="106">
        <v>187.5</v>
      </c>
      <c r="E55" s="237">
        <f>22.13/10</f>
        <v>2.2130000000000001</v>
      </c>
      <c r="F55" s="63">
        <f t="shared" si="3"/>
        <v>414.9375</v>
      </c>
      <c r="J55" s="8"/>
      <c r="K55" s="8"/>
    </row>
    <row r="56" spans="1:11" ht="14.25">
      <c r="A56" s="117" t="s">
        <v>374</v>
      </c>
      <c r="B56" s="41"/>
      <c r="C56" s="41"/>
      <c r="D56" s="41"/>
      <c r="E56" s="41"/>
      <c r="F56" s="309">
        <f>SUM(F12:F55)</f>
        <v>10979.342559900002</v>
      </c>
      <c r="J56" s="8"/>
      <c r="K56" s="8"/>
    </row>
    <row r="57" spans="1:11" ht="14.25">
      <c r="A57" s="98" t="s">
        <v>375</v>
      </c>
      <c r="B57" s="75"/>
      <c r="C57" s="75"/>
      <c r="D57" s="75"/>
      <c r="E57" s="75"/>
      <c r="F57" s="308">
        <f>F56/12</f>
        <v>914.94521332500017</v>
      </c>
      <c r="J57" s="301"/>
      <c r="K57" s="8"/>
    </row>
    <row r="58" spans="1:11">
      <c r="J58" s="8"/>
      <c r="K58" s="8"/>
    </row>
    <row r="59" spans="1:11">
      <c r="A59"/>
    </row>
    <row r="60" spans="1:11">
      <c r="A60"/>
    </row>
    <row r="61" spans="1:11">
      <c r="A61"/>
    </row>
    <row r="62" spans="1:11">
      <c r="A62"/>
    </row>
  </sheetData>
  <mergeCells count="2">
    <mergeCell ref="A1:F1"/>
    <mergeCell ref="A2:F2"/>
  </mergeCells>
  <phoneticPr fontId="30" type="noConversion"/>
  <pageMargins left="0.85" right="0.25" top="0.36" bottom="0.65" header="0.76" footer="0.72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83"/>
  <sheetViews>
    <sheetView topLeftCell="A43" zoomScale="75" workbookViewId="0">
      <selection activeCell="F82" sqref="F82:F83"/>
    </sheetView>
  </sheetViews>
  <sheetFormatPr defaultRowHeight="12.75"/>
  <cols>
    <col min="1" max="1" width="5.85546875" style="24" customWidth="1"/>
    <col min="2" max="2" width="33.5703125" customWidth="1"/>
    <col min="3" max="3" width="12.42578125" style="9" customWidth="1"/>
    <col min="4" max="4" width="13.28515625" style="17" customWidth="1"/>
    <col min="5" max="5" width="12.140625" style="17" customWidth="1"/>
    <col min="6" max="6" width="16" style="17" customWidth="1"/>
    <col min="8" max="8" width="8" customWidth="1"/>
    <col min="9" max="9" width="7" customWidth="1"/>
    <col min="10" max="10" width="8" style="3" customWidth="1"/>
    <col min="11" max="11" width="10.42578125" style="3" customWidth="1"/>
    <col min="12" max="12" width="12" style="3" customWidth="1"/>
    <col min="13" max="13" width="12.140625" style="3" customWidth="1"/>
    <col min="14" max="15" width="10.140625" style="3" customWidth="1"/>
    <col min="16" max="16" width="6.140625" customWidth="1"/>
    <col min="17" max="17" width="27.5703125" customWidth="1"/>
    <col min="18" max="18" width="11.85546875" customWidth="1"/>
    <col min="19" max="19" width="11.28515625" customWidth="1"/>
    <col min="20" max="20" width="8.28515625" customWidth="1"/>
    <col min="21" max="21" width="8.7109375" customWidth="1"/>
    <col min="22" max="22" width="9" customWidth="1"/>
    <col min="23" max="23" width="8.42578125" customWidth="1"/>
    <col min="24" max="24" width="8.7109375" customWidth="1"/>
    <col min="25" max="26" width="10.42578125" customWidth="1"/>
    <col min="29" max="29" width="4.5703125" customWidth="1"/>
    <col min="30" max="30" width="32" customWidth="1"/>
    <col min="32" max="39" width="9.140625" style="3"/>
  </cols>
  <sheetData>
    <row r="1" spans="1:15" ht="15.75">
      <c r="A1" s="414" t="s">
        <v>209</v>
      </c>
      <c r="B1" s="414"/>
      <c r="C1" s="414"/>
      <c r="D1" s="414"/>
      <c r="E1" s="414"/>
      <c r="F1" s="414"/>
    </row>
    <row r="2" spans="1:15" ht="15.75">
      <c r="A2" s="414" t="s">
        <v>130</v>
      </c>
      <c r="B2" s="414"/>
      <c r="C2" s="414"/>
      <c r="D2" s="414"/>
      <c r="E2" s="414"/>
      <c r="F2" s="414"/>
    </row>
    <row r="3" spans="1:15" ht="14.25">
      <c r="A3" s="118"/>
      <c r="B3" s="69"/>
      <c r="C3" s="119"/>
      <c r="D3" s="119"/>
      <c r="E3" s="119"/>
      <c r="F3" s="119"/>
      <c r="O3" s="2"/>
    </row>
    <row r="4" spans="1:15">
      <c r="A4" s="120"/>
      <c r="B4" s="82" t="s">
        <v>102</v>
      </c>
      <c r="C4" s="121" t="s">
        <v>103</v>
      </c>
      <c r="D4" s="82" t="s">
        <v>104</v>
      </c>
      <c r="E4" s="82" t="s">
        <v>94</v>
      </c>
      <c r="F4" s="82" t="s">
        <v>106</v>
      </c>
      <c r="O4" s="10"/>
    </row>
    <row r="5" spans="1:15">
      <c r="A5" s="122" t="s">
        <v>8</v>
      </c>
      <c r="B5" s="80"/>
      <c r="C5" s="84" t="s">
        <v>81</v>
      </c>
      <c r="D5" s="80" t="s">
        <v>105</v>
      </c>
      <c r="E5" s="80" t="s">
        <v>95</v>
      </c>
      <c r="F5" s="80" t="s">
        <v>105</v>
      </c>
      <c r="O5" s="10"/>
    </row>
    <row r="6" spans="1:15">
      <c r="A6" s="122" t="s">
        <v>373</v>
      </c>
      <c r="B6" s="80"/>
      <c r="C6" s="84"/>
      <c r="D6" s="80"/>
      <c r="E6" s="80" t="s">
        <v>671</v>
      </c>
      <c r="F6" s="80"/>
      <c r="O6" s="10"/>
    </row>
    <row r="7" spans="1:15">
      <c r="A7" s="122"/>
      <c r="B7" s="80"/>
      <c r="C7" s="84"/>
      <c r="D7" s="80" t="s">
        <v>354</v>
      </c>
      <c r="E7" s="80" t="s">
        <v>669</v>
      </c>
      <c r="F7" s="80"/>
      <c r="O7" s="10"/>
    </row>
    <row r="8" spans="1:15">
      <c r="A8" s="123"/>
      <c r="B8" s="124"/>
      <c r="C8" s="125"/>
      <c r="D8" s="274">
        <v>2.58</v>
      </c>
      <c r="E8" s="278" t="s">
        <v>660</v>
      </c>
      <c r="F8" s="124" t="s">
        <v>660</v>
      </c>
      <c r="O8" s="10"/>
    </row>
    <row r="9" spans="1:15" s="3" customFormat="1">
      <c r="A9" s="81"/>
      <c r="B9" s="82"/>
      <c r="C9" s="121"/>
      <c r="D9" s="82"/>
      <c r="E9" s="82"/>
      <c r="F9" s="82"/>
      <c r="O9" s="2"/>
    </row>
    <row r="10" spans="1:15" ht="15">
      <c r="A10" s="58">
        <v>1</v>
      </c>
      <c r="B10" s="94" t="s">
        <v>79</v>
      </c>
      <c r="C10" s="126"/>
      <c r="D10" s="127"/>
      <c r="E10" s="95"/>
      <c r="F10" s="128">
        <f>F11+F12+F13+F14+F15+F16+F17+F18+F19</f>
        <v>400.44476744186045</v>
      </c>
      <c r="O10" s="13"/>
    </row>
    <row r="11" spans="1:15">
      <c r="A11" s="50" t="s">
        <v>427</v>
      </c>
      <c r="B11" s="55" t="s">
        <v>330</v>
      </c>
      <c r="C11" s="129" t="s">
        <v>88</v>
      </c>
      <c r="D11" s="130">
        <f>3/10/$D$8</f>
        <v>0.11627906976744186</v>
      </c>
      <c r="E11" s="63">
        <v>536.38</v>
      </c>
      <c r="F11" s="63">
        <f t="shared" ref="F11:F19" si="0">E11*D11</f>
        <v>62.369767441860461</v>
      </c>
      <c r="O11" s="2"/>
    </row>
    <row r="12" spans="1:15">
      <c r="A12" s="50" t="s">
        <v>428</v>
      </c>
      <c r="B12" s="55" t="s">
        <v>31</v>
      </c>
      <c r="C12" s="129" t="s">
        <v>88</v>
      </c>
      <c r="D12" s="130">
        <f>3/15/$D$8</f>
        <v>7.7519379844961239E-2</v>
      </c>
      <c r="E12" s="63">
        <v>145.77000000000001</v>
      </c>
      <c r="F12" s="63">
        <f t="shared" si="0"/>
        <v>11.3</v>
      </c>
      <c r="O12" s="2"/>
    </row>
    <row r="13" spans="1:15">
      <c r="A13" s="50" t="s">
        <v>429</v>
      </c>
      <c r="B13" s="55" t="s">
        <v>117</v>
      </c>
      <c r="C13" s="129" t="s">
        <v>88</v>
      </c>
      <c r="D13" s="130">
        <f>3/8/$D$8</f>
        <v>0.14534883720930233</v>
      </c>
      <c r="E13" s="63">
        <v>536.38</v>
      </c>
      <c r="F13" s="63">
        <f t="shared" si="0"/>
        <v>77.96220930232559</v>
      </c>
      <c r="O13" s="2"/>
    </row>
    <row r="14" spans="1:15">
      <c r="A14" s="50" t="s">
        <v>430</v>
      </c>
      <c r="B14" s="55" t="s">
        <v>569</v>
      </c>
      <c r="C14" s="129" t="s">
        <v>88</v>
      </c>
      <c r="D14" s="130">
        <f>6/5/$D$8</f>
        <v>0.46511627906976744</v>
      </c>
      <c r="E14" s="63">
        <v>219.56</v>
      </c>
      <c r="F14" s="63">
        <f t="shared" si="0"/>
        <v>102.12093023255814</v>
      </c>
      <c r="O14" s="2"/>
    </row>
    <row r="15" spans="1:15" ht="15">
      <c r="A15" s="50" t="s">
        <v>431</v>
      </c>
      <c r="B15" s="55" t="s">
        <v>380</v>
      </c>
      <c r="C15" s="129" t="s">
        <v>88</v>
      </c>
      <c r="D15" s="130">
        <f>6/4/$D$8</f>
        <v>0.58139534883720934</v>
      </c>
      <c r="E15" s="63">
        <v>129.97999999999999</v>
      </c>
      <c r="F15" s="63">
        <f t="shared" si="0"/>
        <v>75.569767441860463</v>
      </c>
      <c r="O15" s="11"/>
    </row>
    <row r="16" spans="1:15" ht="15">
      <c r="A16" s="50" t="s">
        <v>432</v>
      </c>
      <c r="B16" s="55" t="s">
        <v>32</v>
      </c>
      <c r="C16" s="129" t="s">
        <v>88</v>
      </c>
      <c r="D16" s="130">
        <f>6/4/$D$8</f>
        <v>0.58139534883720934</v>
      </c>
      <c r="E16" s="63">
        <v>50.67</v>
      </c>
      <c r="F16" s="63">
        <f t="shared" si="0"/>
        <v>29.459302325581397</v>
      </c>
      <c r="O16" s="11"/>
    </row>
    <row r="17" spans="1:15">
      <c r="A17" s="50" t="s">
        <v>433</v>
      </c>
      <c r="B17" s="55" t="s">
        <v>381</v>
      </c>
      <c r="C17" s="129" t="s">
        <v>88</v>
      </c>
      <c r="D17" s="130">
        <f>6/3/$D$8</f>
        <v>0.77519379844961234</v>
      </c>
      <c r="E17" s="63">
        <v>27.84</v>
      </c>
      <c r="F17" s="63">
        <f t="shared" si="0"/>
        <v>21.581395348837209</v>
      </c>
      <c r="O17" s="16"/>
    </row>
    <row r="18" spans="1:15" ht="15">
      <c r="A18" s="50" t="s">
        <v>434</v>
      </c>
      <c r="B18" s="55" t="s">
        <v>382</v>
      </c>
      <c r="C18" s="129" t="s">
        <v>88</v>
      </c>
      <c r="D18" s="130">
        <f>3/8/$D$8</f>
        <v>0.14534883720930233</v>
      </c>
      <c r="E18" s="63">
        <v>82.08</v>
      </c>
      <c r="F18" s="63">
        <f t="shared" si="0"/>
        <v>11.930232558139535</v>
      </c>
      <c r="O18" s="11"/>
    </row>
    <row r="19" spans="1:15">
      <c r="A19" s="50" t="s">
        <v>435</v>
      </c>
      <c r="B19" s="55" t="s">
        <v>570</v>
      </c>
      <c r="C19" s="129" t="s">
        <v>88</v>
      </c>
      <c r="D19" s="130">
        <f>3/1/$D$8</f>
        <v>1.1627906976744187</v>
      </c>
      <c r="E19" s="63">
        <v>7.01</v>
      </c>
      <c r="F19" s="63">
        <f t="shared" si="0"/>
        <v>8.1511627906976738</v>
      </c>
      <c r="O19" s="16"/>
    </row>
    <row r="20" spans="1:15">
      <c r="A20" s="96"/>
      <c r="B20" s="55"/>
      <c r="C20" s="131"/>
      <c r="D20" s="49"/>
      <c r="E20" s="63"/>
      <c r="F20" s="63"/>
      <c r="O20" s="16"/>
    </row>
    <row r="21" spans="1:15" ht="15">
      <c r="A21" s="58" t="s">
        <v>438</v>
      </c>
      <c r="B21" s="94" t="s">
        <v>35</v>
      </c>
      <c r="C21" s="126"/>
      <c r="D21" s="127"/>
      <c r="E21" s="63"/>
      <c r="F21" s="128">
        <f>F23+F24+F25+F26+F27+F28</f>
        <v>131.31099267872523</v>
      </c>
      <c r="O21" s="11"/>
    </row>
    <row r="22" spans="1:15">
      <c r="A22" s="50"/>
      <c r="B22" s="55"/>
      <c r="C22" s="129"/>
      <c r="D22" s="130"/>
      <c r="E22" s="63"/>
      <c r="F22" s="63"/>
      <c r="O22" s="16"/>
    </row>
    <row r="23" spans="1:15">
      <c r="A23" s="50" t="s">
        <v>497</v>
      </c>
      <c r="B23" s="55" t="s">
        <v>383</v>
      </c>
      <c r="C23" s="129" t="s">
        <v>88</v>
      </c>
      <c r="D23" s="130">
        <f>6/3/$D$8</f>
        <v>0.77519379844961234</v>
      </c>
      <c r="E23" s="63">
        <v>37.770000000000003</v>
      </c>
      <c r="F23" s="63">
        <f>E23*D23</f>
        <v>29.279069767441861</v>
      </c>
      <c r="O23" s="16"/>
    </row>
    <row r="24" spans="1:15">
      <c r="A24" s="50" t="s">
        <v>498</v>
      </c>
      <c r="B24" s="55" t="s">
        <v>643</v>
      </c>
      <c r="C24" s="129" t="s">
        <v>88</v>
      </c>
      <c r="D24" s="130">
        <f>4/9/$D$8</f>
        <v>0.1722652885443583</v>
      </c>
      <c r="E24" s="63">
        <v>297.62</v>
      </c>
      <c r="F24" s="63">
        <f>E24*D24</f>
        <v>51.269595176571919</v>
      </c>
      <c r="O24" s="16"/>
    </row>
    <row r="25" spans="1:15" ht="15">
      <c r="A25" s="50" t="s">
        <v>499</v>
      </c>
      <c r="B25" s="55" t="s">
        <v>384</v>
      </c>
      <c r="C25" s="129" t="s">
        <v>88</v>
      </c>
      <c r="D25" s="130">
        <f>2/9/$D$8</f>
        <v>8.6132644272179149E-2</v>
      </c>
      <c r="E25" s="63">
        <v>168.01</v>
      </c>
      <c r="F25" s="63">
        <f>E25*D25</f>
        <v>14.471145564168818</v>
      </c>
      <c r="O25" s="11"/>
    </row>
    <row r="26" spans="1:15">
      <c r="A26" s="50" t="s">
        <v>500</v>
      </c>
      <c r="B26" s="55" t="s">
        <v>36</v>
      </c>
      <c r="C26" s="129" t="s">
        <v>88</v>
      </c>
      <c r="D26" s="130">
        <f>1/8/$D$8</f>
        <v>4.8449612403100771E-2</v>
      </c>
      <c r="E26" s="63">
        <v>196.17</v>
      </c>
      <c r="F26" s="63">
        <f>E26*D26</f>
        <v>9.5043604651162781</v>
      </c>
      <c r="O26" s="16"/>
    </row>
    <row r="27" spans="1:15">
      <c r="A27" s="50" t="s">
        <v>501</v>
      </c>
      <c r="B27" s="55" t="s">
        <v>233</v>
      </c>
      <c r="C27" s="129" t="s">
        <v>88</v>
      </c>
      <c r="D27" s="130">
        <f>1/5/$D$8</f>
        <v>7.7519379844961239E-2</v>
      </c>
      <c r="E27" s="63">
        <v>236.95</v>
      </c>
      <c r="F27" s="63">
        <f>E27*D27</f>
        <v>18.368217054263564</v>
      </c>
      <c r="O27" s="16"/>
    </row>
    <row r="28" spans="1:15">
      <c r="A28" s="50" t="s">
        <v>502</v>
      </c>
      <c r="B28" s="55" t="s">
        <v>353</v>
      </c>
      <c r="C28" s="129"/>
      <c r="D28" s="130"/>
      <c r="E28" s="63"/>
      <c r="F28" s="63">
        <f>F29+F30+F31</f>
        <v>8.4186046511627914</v>
      </c>
      <c r="O28" s="16"/>
    </row>
    <row r="29" spans="1:15">
      <c r="A29" s="50"/>
      <c r="B29" s="55" t="s">
        <v>385</v>
      </c>
      <c r="C29" s="129" t="s">
        <v>88</v>
      </c>
      <c r="D29" s="130">
        <f>6/10/$D$8</f>
        <v>0.23255813953488372</v>
      </c>
      <c r="E29" s="63">
        <v>11.63</v>
      </c>
      <c r="F29" s="63">
        <f>E29*D29</f>
        <v>2.7046511627906979</v>
      </c>
      <c r="O29" s="16"/>
    </row>
    <row r="30" spans="1:15">
      <c r="A30" s="50"/>
      <c r="B30" s="55" t="s">
        <v>386</v>
      </c>
      <c r="C30" s="129" t="s">
        <v>88</v>
      </c>
      <c r="D30" s="130">
        <f>6/10/$D$8</f>
        <v>0.23255813953488372</v>
      </c>
      <c r="E30" s="63">
        <v>12.83</v>
      </c>
      <c r="F30" s="63">
        <f>E30*D30</f>
        <v>2.983720930232558</v>
      </c>
      <c r="O30" s="16"/>
    </row>
    <row r="31" spans="1:15">
      <c r="A31" s="50"/>
      <c r="B31" s="55" t="s">
        <v>387</v>
      </c>
      <c r="C31" s="129" t="s">
        <v>88</v>
      </c>
      <c r="D31" s="130">
        <f>3/10/$D$8</f>
        <v>0.11627906976744186</v>
      </c>
      <c r="E31" s="63">
        <v>23.48</v>
      </c>
      <c r="F31" s="63">
        <f>E31*D31</f>
        <v>2.730232558139535</v>
      </c>
      <c r="O31" s="16"/>
    </row>
    <row r="32" spans="1:15" ht="15">
      <c r="A32" s="50"/>
      <c r="B32" s="55"/>
      <c r="C32" s="129"/>
      <c r="D32" s="49"/>
      <c r="E32" s="63"/>
      <c r="F32" s="63"/>
      <c r="O32" s="11"/>
    </row>
    <row r="33" spans="1:15" ht="14.25">
      <c r="A33" s="58" t="s">
        <v>439</v>
      </c>
      <c r="B33" s="94" t="s">
        <v>37</v>
      </c>
      <c r="C33" s="126"/>
      <c r="D33" s="127"/>
      <c r="E33" s="63"/>
      <c r="F33" s="128">
        <f>F35+F36+F37+F38+F39+F40+F41+F42</f>
        <v>325.26754214347233</v>
      </c>
      <c r="O33" s="2"/>
    </row>
    <row r="34" spans="1:15">
      <c r="A34" s="50"/>
      <c r="B34" s="132"/>
      <c r="C34" s="126"/>
      <c r="D34" s="49"/>
      <c r="E34" s="63"/>
      <c r="F34" s="63"/>
      <c r="O34" s="2"/>
    </row>
    <row r="35" spans="1:15">
      <c r="A35" s="50" t="s">
        <v>481</v>
      </c>
      <c r="B35" s="55" t="s">
        <v>234</v>
      </c>
      <c r="C35" s="129" t="s">
        <v>88</v>
      </c>
      <c r="D35" s="130">
        <f>1/15/$D$8</f>
        <v>2.5839793281653745E-2</v>
      </c>
      <c r="E35" s="63">
        <v>4159.8100000000004</v>
      </c>
      <c r="F35" s="63">
        <f t="shared" ref="F35:F42" si="1">E35*D35</f>
        <v>107.48863049095608</v>
      </c>
      <c r="O35" s="2"/>
    </row>
    <row r="36" spans="1:15">
      <c r="A36" s="50" t="s">
        <v>482</v>
      </c>
      <c r="B36" s="55" t="s">
        <v>235</v>
      </c>
      <c r="C36" s="129" t="s">
        <v>88</v>
      </c>
      <c r="D36" s="130">
        <f>1/10/$D$8</f>
        <v>3.875968992248062E-2</v>
      </c>
      <c r="E36" s="63">
        <v>2280.6999999999998</v>
      </c>
      <c r="F36" s="63">
        <f t="shared" si="1"/>
        <v>88.399224806201545</v>
      </c>
      <c r="O36" s="2"/>
    </row>
    <row r="37" spans="1:15">
      <c r="A37" s="50" t="s">
        <v>483</v>
      </c>
      <c r="B37" s="55" t="s">
        <v>236</v>
      </c>
      <c r="C37" s="129" t="s">
        <v>88</v>
      </c>
      <c r="D37" s="130">
        <f>1/14/$D$8</f>
        <v>2.768549280177187E-2</v>
      </c>
      <c r="E37" s="63">
        <v>1537.14</v>
      </c>
      <c r="F37" s="63">
        <f t="shared" si="1"/>
        <v>42.556478405315616</v>
      </c>
      <c r="O37" s="2"/>
    </row>
    <row r="38" spans="1:15">
      <c r="A38" s="50" t="s">
        <v>484</v>
      </c>
      <c r="B38" s="55" t="s">
        <v>38</v>
      </c>
      <c r="C38" s="129" t="s">
        <v>88</v>
      </c>
      <c r="D38" s="130">
        <f>1/9/$D$8</f>
        <v>4.3066322136089574E-2</v>
      </c>
      <c r="E38" s="63">
        <v>885.64</v>
      </c>
      <c r="F38" s="63">
        <f t="shared" si="1"/>
        <v>38.141257536606368</v>
      </c>
      <c r="O38" s="2"/>
    </row>
    <row r="39" spans="1:15">
      <c r="A39" s="50" t="s">
        <v>485</v>
      </c>
      <c r="B39" s="55" t="s">
        <v>118</v>
      </c>
      <c r="C39" s="129" t="s">
        <v>88</v>
      </c>
      <c r="D39" s="130">
        <f>4/25/$D$8</f>
        <v>6.2015503875968991E-2</v>
      </c>
      <c r="E39" s="63">
        <v>217.61</v>
      </c>
      <c r="F39" s="63">
        <f t="shared" si="1"/>
        <v>13.495193798449613</v>
      </c>
    </row>
    <row r="40" spans="1:15">
      <c r="A40" s="50" t="s">
        <v>486</v>
      </c>
      <c r="B40" s="55" t="s">
        <v>237</v>
      </c>
      <c r="C40" s="129" t="s">
        <v>88</v>
      </c>
      <c r="D40" s="130">
        <f>1/25/$D$8</f>
        <v>1.5503875968992248E-2</v>
      </c>
      <c r="E40" s="63">
        <v>150.5</v>
      </c>
      <c r="F40" s="63">
        <f t="shared" si="1"/>
        <v>2.3333333333333335</v>
      </c>
    </row>
    <row r="41" spans="1:15">
      <c r="A41" s="50" t="s">
        <v>503</v>
      </c>
      <c r="B41" s="55" t="s">
        <v>388</v>
      </c>
      <c r="C41" s="129" t="s">
        <v>88</v>
      </c>
      <c r="D41" s="130">
        <f>2/12/$D$8</f>
        <v>6.4599483204134361E-2</v>
      </c>
      <c r="E41" s="63">
        <v>481.88</v>
      </c>
      <c r="F41" s="63">
        <f t="shared" si="1"/>
        <v>31.129198966408264</v>
      </c>
    </row>
    <row r="42" spans="1:15">
      <c r="A42" s="50" t="s">
        <v>504</v>
      </c>
      <c r="B42" s="55" t="s">
        <v>525</v>
      </c>
      <c r="C42" s="129" t="s">
        <v>88</v>
      </c>
      <c r="D42" s="130">
        <f>1/20/$D$8</f>
        <v>1.937984496124031E-2</v>
      </c>
      <c r="E42" s="63">
        <v>88.97</v>
      </c>
      <c r="F42" s="63">
        <f t="shared" si="1"/>
        <v>1.7242248062015504</v>
      </c>
    </row>
    <row r="43" spans="1:15" ht="20.25" customHeight="1">
      <c r="A43" s="58" t="s">
        <v>440</v>
      </c>
      <c r="B43" s="94" t="s">
        <v>39</v>
      </c>
      <c r="C43" s="126"/>
      <c r="D43" s="127"/>
      <c r="E43" s="63"/>
      <c r="F43" s="128">
        <f>F45+F46+F47+F48+F49+F50+F51</f>
        <v>392.97910000000002</v>
      </c>
    </row>
    <row r="44" spans="1:15" ht="14.25">
      <c r="A44" s="58"/>
      <c r="B44" s="94"/>
      <c r="C44" s="126"/>
      <c r="D44" s="95"/>
      <c r="E44" s="63"/>
      <c r="F44" s="63"/>
    </row>
    <row r="45" spans="1:15">
      <c r="A45" s="50" t="s">
        <v>441</v>
      </c>
      <c r="B45" s="55" t="s">
        <v>40</v>
      </c>
      <c r="C45" s="129" t="s">
        <v>88</v>
      </c>
      <c r="D45" s="130">
        <f>1/25/$D$8</f>
        <v>1.5503875968992248E-2</v>
      </c>
      <c r="E45" s="63">
        <v>1804</v>
      </c>
      <c r="F45" s="63">
        <f t="shared" ref="F45:F50" si="2">E45*D45</f>
        <v>27.968992248062015</v>
      </c>
    </row>
    <row r="46" spans="1:15">
      <c r="A46" s="50" t="s">
        <v>442</v>
      </c>
      <c r="B46" s="55" t="s">
        <v>389</v>
      </c>
      <c r="C46" s="129" t="s">
        <v>88</v>
      </c>
      <c r="D46" s="130">
        <f>1/25/$D$8</f>
        <v>1.5503875968992248E-2</v>
      </c>
      <c r="E46" s="63">
        <v>3208.93</v>
      </c>
      <c r="F46" s="63">
        <f t="shared" si="2"/>
        <v>49.75085271317829</v>
      </c>
    </row>
    <row r="47" spans="1:15">
      <c r="A47" s="50" t="s">
        <v>443</v>
      </c>
      <c r="B47" s="55" t="s">
        <v>129</v>
      </c>
      <c r="C47" s="129" t="s">
        <v>88</v>
      </c>
      <c r="D47" s="130">
        <f>1/20/$D$8</f>
        <v>1.937984496124031E-2</v>
      </c>
      <c r="E47" s="63">
        <v>195.35</v>
      </c>
      <c r="F47" s="63">
        <f t="shared" si="2"/>
        <v>3.7858527131782944</v>
      </c>
    </row>
    <row r="48" spans="1:15">
      <c r="A48" s="50" t="s">
        <v>444</v>
      </c>
      <c r="B48" s="55" t="s">
        <v>390</v>
      </c>
      <c r="C48" s="129" t="s">
        <v>88</v>
      </c>
      <c r="D48" s="130">
        <f>3/25/$D$8</f>
        <v>4.6511627906976744E-2</v>
      </c>
      <c r="E48" s="63">
        <v>5607.4</v>
      </c>
      <c r="F48" s="63">
        <f t="shared" si="2"/>
        <v>260.80930232558137</v>
      </c>
    </row>
    <row r="49" spans="1:6">
      <c r="A49" s="50" t="s">
        <v>445</v>
      </c>
      <c r="B49" s="55" t="s">
        <v>331</v>
      </c>
      <c r="C49" s="129" t="s">
        <v>88</v>
      </c>
      <c r="D49" s="130">
        <f>1/25/$D$8</f>
        <v>1.5503875968992248E-2</v>
      </c>
      <c r="E49" s="63">
        <v>814.59</v>
      </c>
      <c r="F49" s="63">
        <f t="shared" si="2"/>
        <v>12.629302325581396</v>
      </c>
    </row>
    <row r="50" spans="1:6">
      <c r="A50" s="50" t="s">
        <v>446</v>
      </c>
      <c r="B50" s="55" t="s">
        <v>41</v>
      </c>
      <c r="C50" s="129" t="s">
        <v>88</v>
      </c>
      <c r="D50" s="130">
        <f>3/15/$D$8</f>
        <v>7.7519379844961239E-2</v>
      </c>
      <c r="E50" s="63">
        <v>203.7</v>
      </c>
      <c r="F50" s="63">
        <f t="shared" si="2"/>
        <v>15.790697674418604</v>
      </c>
    </row>
    <row r="51" spans="1:6" ht="15">
      <c r="A51" s="50" t="s">
        <v>447</v>
      </c>
      <c r="B51" s="55" t="s">
        <v>361</v>
      </c>
      <c r="C51" s="129"/>
      <c r="D51" s="130"/>
      <c r="E51" s="63"/>
      <c r="F51" s="133">
        <f>(F45+F46+F47+F48+F49+F50)*0.06</f>
        <v>22.2441</v>
      </c>
    </row>
    <row r="52" spans="1:6">
      <c r="A52" s="52"/>
      <c r="B52" s="55"/>
      <c r="C52" s="129"/>
      <c r="D52" s="130"/>
      <c r="E52" s="63"/>
      <c r="F52" s="63"/>
    </row>
    <row r="53" spans="1:6" ht="14.25">
      <c r="A53" s="134" t="s">
        <v>448</v>
      </c>
      <c r="B53" s="94" t="s">
        <v>33</v>
      </c>
      <c r="C53" s="129"/>
      <c r="D53" s="127"/>
      <c r="E53" s="63"/>
      <c r="F53" s="128">
        <f>F55+F62</f>
        <v>946.63504844961233</v>
      </c>
    </row>
    <row r="54" spans="1:6" ht="14.25">
      <c r="A54" s="134"/>
      <c r="B54" s="94"/>
      <c r="C54" s="129"/>
      <c r="D54" s="95"/>
      <c r="E54" s="63"/>
      <c r="F54" s="63"/>
    </row>
    <row r="55" spans="1:6" ht="15">
      <c r="A55" s="135" t="s">
        <v>449</v>
      </c>
      <c r="B55" s="136" t="s">
        <v>571</v>
      </c>
      <c r="C55" s="129"/>
      <c r="D55" s="95"/>
      <c r="E55" s="63"/>
      <c r="F55" s="137">
        <f>F56+F57+F58+F60+F61</f>
        <v>611.05620155038753</v>
      </c>
    </row>
    <row r="56" spans="1:6">
      <c r="A56" s="52" t="s">
        <v>505</v>
      </c>
      <c r="B56" s="55" t="s">
        <v>391</v>
      </c>
      <c r="C56" s="129" t="s">
        <v>88</v>
      </c>
      <c r="D56" s="130">
        <f>42/1/$D$8</f>
        <v>16.279069767441861</v>
      </c>
      <c r="E56" s="63">
        <v>10.9</v>
      </c>
      <c r="F56" s="63">
        <f>E56*D56</f>
        <v>177.44186046511629</v>
      </c>
    </row>
    <row r="57" spans="1:6">
      <c r="A57" s="52" t="s">
        <v>506</v>
      </c>
      <c r="B57" s="55" t="s">
        <v>392</v>
      </c>
      <c r="C57" s="129" t="s">
        <v>88</v>
      </c>
      <c r="D57" s="130">
        <f>34/1/$D$8</f>
        <v>13.178294573643411</v>
      </c>
      <c r="E57" s="63">
        <v>6.3624999999999998</v>
      </c>
      <c r="F57" s="63">
        <f>E57*D57</f>
        <v>83.846899224806208</v>
      </c>
    </row>
    <row r="58" spans="1:6">
      <c r="A58" s="52" t="s">
        <v>507</v>
      </c>
      <c r="B58" s="55" t="s">
        <v>572</v>
      </c>
      <c r="C58" s="129" t="s">
        <v>88</v>
      </c>
      <c r="D58" s="130">
        <f>24/1/$D$8</f>
        <v>9.3023255813953494</v>
      </c>
      <c r="E58" s="63">
        <v>23.5</v>
      </c>
      <c r="F58" s="63">
        <f>E58*D58</f>
        <v>218.6046511627907</v>
      </c>
    </row>
    <row r="59" spans="1:6">
      <c r="A59" s="52"/>
      <c r="B59" s="55" t="s">
        <v>393</v>
      </c>
      <c r="C59" s="129"/>
      <c r="D59" s="130"/>
      <c r="E59" s="63"/>
      <c r="F59" s="63"/>
    </row>
    <row r="60" spans="1:6">
      <c r="A60" s="52" t="s">
        <v>508</v>
      </c>
      <c r="B60" s="55" t="s">
        <v>394</v>
      </c>
      <c r="C60" s="129" t="s">
        <v>88</v>
      </c>
      <c r="D60" s="130">
        <f>6/1/$D$8</f>
        <v>2.3255813953488373</v>
      </c>
      <c r="E60" s="63">
        <v>43.64</v>
      </c>
      <c r="F60" s="63">
        <f>E60*D60</f>
        <v>101.48837209302326</v>
      </c>
    </row>
    <row r="61" spans="1:6">
      <c r="A61" s="52" t="s">
        <v>509</v>
      </c>
      <c r="B61" s="55" t="s">
        <v>395</v>
      </c>
      <c r="C61" s="129" t="s">
        <v>88</v>
      </c>
      <c r="D61" s="130">
        <f>6/1/$D$8</f>
        <v>2.3255813953488373</v>
      </c>
      <c r="E61" s="63">
        <v>12.76</v>
      </c>
      <c r="F61" s="63">
        <f>E61*D61</f>
        <v>29.674418604651166</v>
      </c>
    </row>
    <row r="62" spans="1:6" ht="15">
      <c r="A62" s="52" t="s">
        <v>450</v>
      </c>
      <c r="B62" s="138" t="s">
        <v>332</v>
      </c>
      <c r="C62" s="129"/>
      <c r="D62" s="130"/>
      <c r="E62" s="63"/>
      <c r="F62" s="137">
        <f>F63+F64+F65+F66+F67+F68</f>
        <v>335.5788468992248</v>
      </c>
    </row>
    <row r="63" spans="1:6">
      <c r="A63" s="52" t="s">
        <v>510</v>
      </c>
      <c r="B63" s="55" t="s">
        <v>396</v>
      </c>
      <c r="C63" s="129" t="s">
        <v>88</v>
      </c>
      <c r="D63" s="130">
        <f>17/1/$D$8</f>
        <v>6.5891472868217056</v>
      </c>
      <c r="E63" s="63">
        <v>34.994999999999997</v>
      </c>
      <c r="F63" s="63">
        <f>E63*D63</f>
        <v>230.58720930232556</v>
      </c>
    </row>
    <row r="64" spans="1:6">
      <c r="A64" s="52" t="s">
        <v>511</v>
      </c>
      <c r="B64" s="55" t="s">
        <v>83</v>
      </c>
      <c r="C64" s="129" t="s">
        <v>88</v>
      </c>
      <c r="D64" s="130">
        <f>6/1/$D$8</f>
        <v>2.3255813953488373</v>
      </c>
      <c r="E64" s="63">
        <v>12</v>
      </c>
      <c r="F64" s="63">
        <f>E64*D64</f>
        <v>27.906976744186046</v>
      </c>
    </row>
    <row r="65" spans="1:39">
      <c r="A65" s="52" t="s">
        <v>512</v>
      </c>
      <c r="B65" s="55" t="s">
        <v>84</v>
      </c>
      <c r="C65" s="129" t="s">
        <v>88</v>
      </c>
      <c r="D65" s="130">
        <f>2/1/$D$8</f>
        <v>0.77519379844961234</v>
      </c>
      <c r="E65" s="63">
        <v>11.44</v>
      </c>
      <c r="F65" s="63">
        <f>E65*D65</f>
        <v>8.8682170542635639</v>
      </c>
    </row>
    <row r="66" spans="1:39">
      <c r="A66" s="52" t="s">
        <v>513</v>
      </c>
      <c r="B66" s="55" t="s">
        <v>85</v>
      </c>
      <c r="C66" s="129" t="s">
        <v>88</v>
      </c>
      <c r="D66" s="130">
        <f>3/1/$D$8</f>
        <v>1.1627906976744187</v>
      </c>
      <c r="E66" s="63">
        <v>10.7</v>
      </c>
      <c r="F66" s="63">
        <f>E66*D66</f>
        <v>12.441860465116278</v>
      </c>
    </row>
    <row r="67" spans="1:39">
      <c r="A67" s="52" t="s">
        <v>514</v>
      </c>
      <c r="B67" s="55" t="s">
        <v>86</v>
      </c>
      <c r="C67" s="129" t="s">
        <v>88</v>
      </c>
      <c r="D67" s="130">
        <f>36/1/$D$8</f>
        <v>13.953488372093023</v>
      </c>
      <c r="E67" s="63">
        <v>3.83</v>
      </c>
      <c r="F67" s="63">
        <f>E67*D67</f>
        <v>53.441860465116278</v>
      </c>
    </row>
    <row r="68" spans="1:39">
      <c r="A68" s="52" t="s">
        <v>515</v>
      </c>
      <c r="B68" s="55" t="s">
        <v>362</v>
      </c>
      <c r="C68" s="129"/>
      <c r="D68" s="130"/>
      <c r="E68" s="63"/>
      <c r="F68" s="63">
        <f>(F63+F64+F65+F66+F67)*0.007</f>
        <v>2.3327228682170542</v>
      </c>
    </row>
    <row r="69" spans="1:39" s="14" customFormat="1" ht="15">
      <c r="A69" s="134" t="s">
        <v>455</v>
      </c>
      <c r="B69" s="94" t="s">
        <v>34</v>
      </c>
      <c r="C69" s="139"/>
      <c r="D69" s="140"/>
      <c r="E69" s="63"/>
      <c r="F69" s="128">
        <f>SUM(F71:F81)</f>
        <v>267.92790697674417</v>
      </c>
      <c r="J69" s="18"/>
      <c r="K69" s="18"/>
      <c r="L69" s="18"/>
      <c r="M69" s="18"/>
      <c r="N69" s="18"/>
      <c r="O69" s="18"/>
      <c r="AF69" s="18"/>
      <c r="AG69" s="18"/>
      <c r="AH69" s="18"/>
      <c r="AI69" s="18"/>
      <c r="AJ69" s="18"/>
      <c r="AK69" s="18"/>
      <c r="AL69" s="18"/>
      <c r="AM69" s="18"/>
    </row>
    <row r="70" spans="1:39">
      <c r="A70" s="52"/>
      <c r="B70" s="55"/>
      <c r="C70" s="129"/>
      <c r="D70" s="130"/>
      <c r="E70" s="63"/>
      <c r="F70" s="63"/>
    </row>
    <row r="71" spans="1:39">
      <c r="A71" s="52" t="s">
        <v>516</v>
      </c>
      <c r="B71" s="55" t="s">
        <v>397</v>
      </c>
      <c r="C71" s="129" t="s">
        <v>333</v>
      </c>
      <c r="D71" s="130">
        <f>5/1/$D$8</f>
        <v>1.9379844961240309</v>
      </c>
      <c r="E71" s="63">
        <v>87.699999999999989</v>
      </c>
      <c r="F71" s="63">
        <f>E71*D71</f>
        <v>169.9612403100775</v>
      </c>
    </row>
    <row r="72" spans="1:39">
      <c r="A72" s="52" t="s">
        <v>517</v>
      </c>
      <c r="B72" s="55" t="s">
        <v>398</v>
      </c>
      <c r="C72" s="129" t="s">
        <v>89</v>
      </c>
      <c r="D72" s="130">
        <f>5/1/$D$8</f>
        <v>1.9379844961240309</v>
      </c>
      <c r="E72" s="63">
        <v>3.8</v>
      </c>
      <c r="F72" s="63">
        <f>E72*D72</f>
        <v>7.3643410852713167</v>
      </c>
    </row>
    <row r="73" spans="1:39">
      <c r="A73" s="52" t="s">
        <v>518</v>
      </c>
      <c r="B73" s="55" t="s">
        <v>637</v>
      </c>
      <c r="C73" s="129" t="s">
        <v>89</v>
      </c>
      <c r="D73" s="130">
        <f>5/1/$D$8</f>
        <v>1.9379844961240309</v>
      </c>
      <c r="E73" s="63">
        <v>2.5099999999999998</v>
      </c>
      <c r="F73" s="63">
        <f>E73*D73</f>
        <v>4.8643410852713167</v>
      </c>
    </row>
    <row r="74" spans="1:39">
      <c r="A74" s="64"/>
      <c r="B74" s="141" t="s">
        <v>573</v>
      </c>
      <c r="C74" s="129"/>
      <c r="D74" s="130"/>
      <c r="E74" s="63"/>
      <c r="F74" s="63"/>
    </row>
    <row r="75" spans="1:39">
      <c r="A75" s="64" t="s">
        <v>519</v>
      </c>
      <c r="B75" s="55" t="s">
        <v>638</v>
      </c>
      <c r="C75" s="129" t="s">
        <v>399</v>
      </c>
      <c r="D75" s="130">
        <f>2/1/$D$8</f>
        <v>0.77519379844961234</v>
      </c>
      <c r="E75" s="63">
        <v>1.87</v>
      </c>
      <c r="F75" s="63">
        <f>E75*D75</f>
        <v>1.4496124031007751</v>
      </c>
    </row>
    <row r="76" spans="1:39">
      <c r="A76" s="64" t="s">
        <v>520</v>
      </c>
      <c r="B76" s="55" t="s">
        <v>627</v>
      </c>
      <c r="C76" s="129" t="s">
        <v>88</v>
      </c>
      <c r="D76" s="130">
        <f>5/1/$D$8</f>
        <v>1.9379844961240309</v>
      </c>
      <c r="E76" s="63">
        <v>6.33</v>
      </c>
      <c r="F76" s="63">
        <f>E76*D76</f>
        <v>12.267441860465116</v>
      </c>
    </row>
    <row r="77" spans="1:39">
      <c r="A77" s="52"/>
      <c r="B77" s="141" t="s">
        <v>574</v>
      </c>
      <c r="C77" s="129"/>
      <c r="D77" s="130"/>
      <c r="E77" s="63"/>
      <c r="F77" s="63"/>
    </row>
    <row r="78" spans="1:39">
      <c r="A78" s="52" t="s">
        <v>521</v>
      </c>
      <c r="B78" s="55" t="s">
        <v>575</v>
      </c>
      <c r="C78" s="129" t="s">
        <v>89</v>
      </c>
      <c r="D78" s="130">
        <f>9/1/$D$8</f>
        <v>3.4883720930232558</v>
      </c>
      <c r="E78" s="63">
        <v>12.24</v>
      </c>
      <c r="F78" s="63">
        <f>E78*D78</f>
        <v>42.697674418604649</v>
      </c>
    </row>
    <row r="79" spans="1:39">
      <c r="A79" s="52" t="s">
        <v>522</v>
      </c>
      <c r="B79" s="55" t="s">
        <v>576</v>
      </c>
      <c r="C79" s="129" t="s">
        <v>88</v>
      </c>
      <c r="D79" s="130">
        <f>1/1/$D$8</f>
        <v>0.38759689922480617</v>
      </c>
      <c r="E79" s="63">
        <v>5.35</v>
      </c>
      <c r="F79" s="63">
        <f>E79*D79</f>
        <v>2.0736434108527129</v>
      </c>
    </row>
    <row r="80" spans="1:39">
      <c r="A80" s="52" t="s">
        <v>523</v>
      </c>
      <c r="B80" s="55" t="s">
        <v>334</v>
      </c>
      <c r="C80" s="129" t="s">
        <v>88</v>
      </c>
      <c r="D80" s="130">
        <f>1/1/$D$8</f>
        <v>0.38759689922480617</v>
      </c>
      <c r="E80" s="63">
        <v>19.100000000000001</v>
      </c>
      <c r="F80" s="63">
        <f>E80*D80</f>
        <v>7.4031007751937983</v>
      </c>
    </row>
    <row r="81" spans="1:6">
      <c r="A81" s="52" t="s">
        <v>524</v>
      </c>
      <c r="B81" s="55" t="s">
        <v>363</v>
      </c>
      <c r="C81" s="129"/>
      <c r="D81" s="49"/>
      <c r="E81" s="63"/>
      <c r="F81" s="63">
        <f>(F71+F72+F73+F75+F76+F78+F79+F80)*0.08</f>
        <v>19.846511627906974</v>
      </c>
    </row>
    <row r="82" spans="1:6" ht="18.75">
      <c r="A82" s="142" t="s">
        <v>374</v>
      </c>
      <c r="B82" s="143"/>
      <c r="C82" s="144"/>
      <c r="D82" s="145"/>
      <c r="E82" s="144"/>
      <c r="F82" s="322">
        <f>F10+F21+F33+F43+F53+F69</f>
        <v>2464.5653576904142</v>
      </c>
    </row>
    <row r="83" spans="1:6" ht="18.75">
      <c r="A83" s="146" t="s">
        <v>375</v>
      </c>
      <c r="B83" s="147"/>
      <c r="C83" s="148"/>
      <c r="D83" s="148"/>
      <c r="E83" s="148"/>
      <c r="F83" s="320">
        <f>F82/12</f>
        <v>205.38044647420119</v>
      </c>
    </row>
  </sheetData>
  <mergeCells count="2">
    <mergeCell ref="A1:F1"/>
    <mergeCell ref="A2:F2"/>
  </mergeCells>
  <phoneticPr fontId="30" type="noConversion"/>
  <pageMargins left="0.55000000000000004" right="0.24" top="0.77" bottom="1.1499999999999999" header="0.4" footer="0.65"/>
  <pageSetup paperSize="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workbookViewId="0">
      <selection activeCell="F53" sqref="F53:F55"/>
    </sheetView>
  </sheetViews>
  <sheetFormatPr defaultRowHeight="12.75"/>
  <cols>
    <col min="1" max="1" width="6.28515625" style="24" customWidth="1"/>
    <col min="2" max="2" width="31" style="3" customWidth="1"/>
    <col min="3" max="3" width="7" style="3" customWidth="1"/>
    <col min="4" max="4" width="18.85546875" style="6" customWidth="1"/>
    <col min="5" max="5" width="10.42578125" style="3" customWidth="1"/>
    <col min="6" max="6" width="11.5703125" style="6" customWidth="1"/>
    <col min="7" max="7" width="9.85546875" bestFit="1" customWidth="1"/>
  </cols>
  <sheetData>
    <row r="1" spans="1:10" ht="15.75">
      <c r="A1" s="414" t="s">
        <v>418</v>
      </c>
      <c r="B1" s="414"/>
      <c r="C1" s="414"/>
      <c r="D1" s="414"/>
      <c r="E1" s="414"/>
      <c r="F1" s="414"/>
    </row>
    <row r="2" spans="1:10" ht="15.75">
      <c r="A2" s="415" t="s">
        <v>659</v>
      </c>
      <c r="B2" s="415"/>
      <c r="C2" s="415"/>
      <c r="D2" s="415"/>
      <c r="E2" s="415"/>
      <c r="F2" s="415"/>
    </row>
    <row r="3" spans="1:10">
      <c r="A3" s="203" t="s">
        <v>42</v>
      </c>
      <c r="B3" s="204"/>
      <c r="C3" s="42" t="s">
        <v>92</v>
      </c>
      <c r="D3" s="56" t="s">
        <v>238</v>
      </c>
      <c r="E3" s="42" t="s">
        <v>94</v>
      </c>
      <c r="F3" s="42" t="s">
        <v>107</v>
      </c>
    </row>
    <row r="4" spans="1:10">
      <c r="A4" s="205" t="s">
        <v>373</v>
      </c>
      <c r="B4" s="129" t="s">
        <v>302</v>
      </c>
      <c r="C4" s="47" t="s">
        <v>81</v>
      </c>
      <c r="D4" s="54" t="s">
        <v>240</v>
      </c>
      <c r="E4" s="47" t="s">
        <v>95</v>
      </c>
      <c r="F4" s="47" t="s">
        <v>105</v>
      </c>
      <c r="J4" s="7"/>
    </row>
    <row r="5" spans="1:10">
      <c r="A5" s="206"/>
      <c r="B5" s="129" t="s">
        <v>112</v>
      </c>
      <c r="C5" s="47"/>
      <c r="D5" s="54" t="s">
        <v>241</v>
      </c>
      <c r="E5" s="47" t="s">
        <v>671</v>
      </c>
      <c r="F5" s="49"/>
    </row>
    <row r="6" spans="1:10">
      <c r="A6" s="206"/>
      <c r="B6" s="162"/>
      <c r="C6" s="47"/>
      <c r="D6" s="47" t="s">
        <v>314</v>
      </c>
      <c r="E6" s="47" t="s">
        <v>669</v>
      </c>
      <c r="F6" s="49"/>
    </row>
    <row r="7" spans="1:10">
      <c r="A7" s="207"/>
      <c r="B7" s="163"/>
      <c r="C7" s="47"/>
      <c r="D7" s="54" t="s">
        <v>242</v>
      </c>
      <c r="E7" s="51"/>
      <c r="F7" s="49"/>
    </row>
    <row r="8" spans="1:10">
      <c r="A8" s="207"/>
      <c r="B8" s="163"/>
      <c r="C8" s="47"/>
      <c r="D8" s="54" t="s">
        <v>257</v>
      </c>
      <c r="E8" s="51"/>
      <c r="F8" s="49"/>
    </row>
    <row r="9" spans="1:10">
      <c r="A9" s="207"/>
      <c r="B9" s="163"/>
      <c r="C9" s="47"/>
      <c r="D9" s="54"/>
      <c r="E9" s="51"/>
      <c r="F9" s="49"/>
    </row>
    <row r="10" spans="1:10">
      <c r="A10" s="207"/>
      <c r="B10" s="163"/>
      <c r="C10" s="47"/>
      <c r="D10" s="54">
        <v>51.5</v>
      </c>
      <c r="E10" s="51"/>
      <c r="F10" s="49"/>
    </row>
    <row r="11" spans="1:10">
      <c r="A11" s="208"/>
      <c r="B11" s="209"/>
      <c r="C11" s="93"/>
      <c r="D11" s="105">
        <v>48.5</v>
      </c>
      <c r="E11" s="278" t="s">
        <v>660</v>
      </c>
      <c r="F11" s="124" t="s">
        <v>660</v>
      </c>
    </row>
    <row r="12" spans="1:10" ht="14.25">
      <c r="A12" s="210"/>
      <c r="B12" s="211" t="s">
        <v>127</v>
      </c>
      <c r="C12" s="42"/>
      <c r="D12" s="44"/>
      <c r="E12" s="177"/>
      <c r="F12" s="44"/>
    </row>
    <row r="13" spans="1:10" ht="14.25">
      <c r="A13" s="50"/>
      <c r="B13" s="212" t="s">
        <v>128</v>
      </c>
      <c r="C13" s="47"/>
      <c r="D13" s="49"/>
      <c r="E13" s="129"/>
      <c r="F13" s="137">
        <f>F14+F17+F19+F29+F31+F35+F39+F42+F45+F47+F49+F51+F52</f>
        <v>4173.0926130952375</v>
      </c>
    </row>
    <row r="14" spans="1:10" ht="14.25">
      <c r="A14" s="58">
        <v>1</v>
      </c>
      <c r="B14" s="59" t="s">
        <v>10</v>
      </c>
      <c r="C14" s="47" t="s">
        <v>88</v>
      </c>
      <c r="D14" s="127"/>
      <c r="E14" s="172"/>
      <c r="F14" s="137">
        <f>F15</f>
        <v>560.745</v>
      </c>
    </row>
    <row r="15" spans="1:10">
      <c r="A15" s="50" t="s">
        <v>427</v>
      </c>
      <c r="B15" s="53" t="s">
        <v>258</v>
      </c>
      <c r="C15" s="47" t="s">
        <v>88</v>
      </c>
      <c r="D15" s="63">
        <f>1/2</f>
        <v>0.5</v>
      </c>
      <c r="E15" s="62">
        <v>1121.49</v>
      </c>
      <c r="F15" s="63">
        <f>E15*D15</f>
        <v>560.745</v>
      </c>
    </row>
    <row r="16" spans="1:10">
      <c r="A16" s="50"/>
      <c r="B16" s="53" t="s">
        <v>259</v>
      </c>
      <c r="C16" s="47"/>
      <c r="D16" s="49"/>
      <c r="E16" s="62"/>
      <c r="F16" s="63"/>
    </row>
    <row r="17" spans="1:7" ht="14.25">
      <c r="A17" s="58" t="s">
        <v>438</v>
      </c>
      <c r="B17" s="59" t="s">
        <v>581</v>
      </c>
      <c r="C17" s="47" t="s">
        <v>88</v>
      </c>
      <c r="D17" s="137"/>
      <c r="E17" s="62"/>
      <c r="F17" s="137">
        <f>F18</f>
        <v>560.745</v>
      </c>
    </row>
    <row r="18" spans="1:7">
      <c r="A18" s="50" t="s">
        <v>497</v>
      </c>
      <c r="B18" s="53" t="s">
        <v>344</v>
      </c>
      <c r="C18" s="47" t="s">
        <v>88</v>
      </c>
      <c r="D18" s="63">
        <f>1/2</f>
        <v>0.5</v>
      </c>
      <c r="E18" s="62">
        <v>1121.49</v>
      </c>
      <c r="F18" s="63">
        <f>E18*D18</f>
        <v>560.745</v>
      </c>
    </row>
    <row r="19" spans="1:7" ht="14.25">
      <c r="A19" s="58" t="s">
        <v>439</v>
      </c>
      <c r="B19" s="59" t="s">
        <v>20</v>
      </c>
      <c r="C19" s="213"/>
      <c r="D19" s="127"/>
      <c r="E19" s="62"/>
      <c r="F19" s="137">
        <f>F20+F22+F24+F26+F27+F28</f>
        <v>755.90657976190471</v>
      </c>
    </row>
    <row r="20" spans="1:7">
      <c r="A20" s="50" t="s">
        <v>481</v>
      </c>
      <c r="B20" s="53" t="s">
        <v>260</v>
      </c>
      <c r="C20" s="47" t="s">
        <v>88</v>
      </c>
      <c r="D20" s="130">
        <f>2/3.5*$D$11/100</f>
        <v>0.27714285714285714</v>
      </c>
      <c r="E20" s="62">
        <v>242.07</v>
      </c>
      <c r="F20" s="63">
        <f>E20*D20</f>
        <v>67.087971428571421</v>
      </c>
      <c r="G20" s="30"/>
    </row>
    <row r="21" spans="1:7">
      <c r="A21" s="50"/>
      <c r="B21" s="53" t="s">
        <v>261</v>
      </c>
      <c r="C21" s="47"/>
      <c r="D21" s="130"/>
      <c r="E21" s="62"/>
      <c r="F21" s="63"/>
    </row>
    <row r="22" spans="1:7">
      <c r="A22" s="50" t="s">
        <v>482</v>
      </c>
      <c r="B22" s="53" t="s">
        <v>246</v>
      </c>
      <c r="C22" s="47" t="s">
        <v>88</v>
      </c>
      <c r="D22" s="130">
        <f>2/1*$D$10/100</f>
        <v>1.03</v>
      </c>
      <c r="E22" s="62">
        <v>157.19</v>
      </c>
      <c r="F22" s="63">
        <f>E22*D22</f>
        <v>161.9057</v>
      </c>
    </row>
    <row r="23" spans="1:7">
      <c r="A23" s="50"/>
      <c r="B23" s="53" t="s">
        <v>606</v>
      </c>
      <c r="C23" s="47"/>
      <c r="D23" s="130"/>
      <c r="E23" s="62"/>
      <c r="F23" s="63"/>
    </row>
    <row r="24" spans="1:7">
      <c r="A24" s="50" t="s">
        <v>483</v>
      </c>
      <c r="B24" s="53" t="s">
        <v>262</v>
      </c>
      <c r="C24" s="47" t="s">
        <v>88</v>
      </c>
      <c r="D24" s="130">
        <f>1/2*$D$10/100</f>
        <v>0.25750000000000001</v>
      </c>
      <c r="E24" s="62">
        <v>238.69</v>
      </c>
      <c r="F24" s="63">
        <f>E24*D24</f>
        <v>61.462675000000004</v>
      </c>
    </row>
    <row r="25" spans="1:7">
      <c r="A25" s="50"/>
      <c r="B25" s="53" t="s">
        <v>244</v>
      </c>
      <c r="C25" s="47"/>
      <c r="D25" s="130"/>
      <c r="E25" s="62"/>
      <c r="F25" s="63"/>
    </row>
    <row r="26" spans="1:7">
      <c r="A26" s="50" t="s">
        <v>484</v>
      </c>
      <c r="B26" s="53" t="s">
        <v>345</v>
      </c>
      <c r="C26" s="47" t="s">
        <v>88</v>
      </c>
      <c r="D26" s="130">
        <f>1/1.5*$D$10/100</f>
        <v>0.34333333333333327</v>
      </c>
      <c r="E26" s="62">
        <v>238.69</v>
      </c>
      <c r="F26" s="63">
        <f>E26*D26</f>
        <v>81.950233333333315</v>
      </c>
    </row>
    <row r="27" spans="1:7">
      <c r="A27" s="50" t="s">
        <v>485</v>
      </c>
      <c r="B27" s="53" t="s">
        <v>376</v>
      </c>
      <c r="C27" s="47" t="s">
        <v>88</v>
      </c>
      <c r="D27" s="63">
        <f>1/2</f>
        <v>0.5</v>
      </c>
      <c r="E27" s="62">
        <v>212.62</v>
      </c>
      <c r="F27" s="63">
        <f>E27*D27</f>
        <v>106.31</v>
      </c>
    </row>
    <row r="28" spans="1:7">
      <c r="A28" s="50" t="s">
        <v>486</v>
      </c>
      <c r="B28" s="53" t="s">
        <v>11</v>
      </c>
      <c r="C28" s="47" t="s">
        <v>88</v>
      </c>
      <c r="D28" s="99">
        <f>1/1</f>
        <v>1</v>
      </c>
      <c r="E28" s="62">
        <v>277.19</v>
      </c>
      <c r="F28" s="63">
        <f>E28*D28</f>
        <v>277.19</v>
      </c>
    </row>
    <row r="29" spans="1:7" ht="14.25">
      <c r="A29" s="97" t="s">
        <v>440</v>
      </c>
      <c r="B29" s="111" t="s">
        <v>263</v>
      </c>
      <c r="C29" s="47" t="s">
        <v>211</v>
      </c>
      <c r="D29" s="130">
        <f>1/6</f>
        <v>0.16666666666666666</v>
      </c>
      <c r="E29" s="62">
        <v>208.95</v>
      </c>
      <c r="F29" s="137">
        <f>E29*D29</f>
        <v>34.824999999999996</v>
      </c>
    </row>
    <row r="30" spans="1:7" ht="15">
      <c r="A30" s="97"/>
      <c r="B30" s="214" t="s">
        <v>577</v>
      </c>
      <c r="C30" s="47"/>
      <c r="D30" s="130"/>
      <c r="E30" s="62"/>
      <c r="F30" s="137"/>
    </row>
    <row r="31" spans="1:7" ht="14.25">
      <c r="A31" s="97" t="s">
        <v>448</v>
      </c>
      <c r="B31" s="111" t="s">
        <v>12</v>
      </c>
      <c r="C31" s="55"/>
      <c r="D31" s="55"/>
      <c r="E31" s="62"/>
      <c r="F31" s="137">
        <f>F32+F33+F34</f>
        <v>601.25500000000011</v>
      </c>
    </row>
    <row r="32" spans="1:7">
      <c r="A32" s="50" t="s">
        <v>449</v>
      </c>
      <c r="B32" s="33" t="s">
        <v>13</v>
      </c>
      <c r="C32" s="47" t="s">
        <v>88</v>
      </c>
      <c r="D32" s="130">
        <f>5/1.5</f>
        <v>3.3333333333333335</v>
      </c>
      <c r="E32" s="62">
        <v>39.72</v>
      </c>
      <c r="F32" s="63">
        <f>E32*D32</f>
        <v>132.4</v>
      </c>
    </row>
    <row r="33" spans="1:6">
      <c r="A33" s="50" t="s">
        <v>450</v>
      </c>
      <c r="B33" s="33" t="s">
        <v>578</v>
      </c>
      <c r="C33" s="47" t="s">
        <v>88</v>
      </c>
      <c r="D33" s="99">
        <f>3/1</f>
        <v>3</v>
      </c>
      <c r="E33" s="62">
        <v>130.55000000000001</v>
      </c>
      <c r="F33" s="63">
        <f>E33*D33</f>
        <v>391.65000000000003</v>
      </c>
    </row>
    <row r="34" spans="1:6">
      <c r="A34" s="50" t="s">
        <v>451</v>
      </c>
      <c r="B34" s="33" t="s">
        <v>24</v>
      </c>
      <c r="C34" s="47" t="s">
        <v>88</v>
      </c>
      <c r="D34" s="63">
        <f>1/2</f>
        <v>0.5</v>
      </c>
      <c r="E34" s="62">
        <v>154.41</v>
      </c>
      <c r="F34" s="63">
        <f>E34*D34</f>
        <v>77.204999999999998</v>
      </c>
    </row>
    <row r="35" spans="1:6" ht="14.25">
      <c r="A35" s="58" t="s">
        <v>455</v>
      </c>
      <c r="B35" s="59" t="s">
        <v>14</v>
      </c>
      <c r="C35" s="213"/>
      <c r="D35" s="127"/>
      <c r="E35" s="62"/>
      <c r="F35" s="137">
        <f>F36+F37+F38</f>
        <v>203.31270000000001</v>
      </c>
    </row>
    <row r="36" spans="1:6">
      <c r="A36" s="50" t="s">
        <v>516</v>
      </c>
      <c r="B36" s="53" t="s">
        <v>249</v>
      </c>
      <c r="C36" s="47" t="s">
        <v>88</v>
      </c>
      <c r="D36" s="130">
        <f>4/1*$D$10/100</f>
        <v>2.06</v>
      </c>
      <c r="E36" s="62">
        <v>17.14</v>
      </c>
      <c r="F36" s="63">
        <f>E36*D36</f>
        <v>35.308399999999999</v>
      </c>
    </row>
    <row r="37" spans="1:6">
      <c r="A37" s="50" t="s">
        <v>517</v>
      </c>
      <c r="B37" s="33" t="s">
        <v>250</v>
      </c>
      <c r="C37" s="47" t="s">
        <v>88</v>
      </c>
      <c r="D37" s="130">
        <f>3/1*$D$11/100</f>
        <v>1.4550000000000001</v>
      </c>
      <c r="E37" s="62">
        <v>80.459999999999994</v>
      </c>
      <c r="F37" s="63">
        <f>E37*D37</f>
        <v>117.0693</v>
      </c>
    </row>
    <row r="38" spans="1:6">
      <c r="A38" s="50" t="s">
        <v>518</v>
      </c>
      <c r="B38" s="33" t="s">
        <v>227</v>
      </c>
      <c r="C38" s="47" t="s">
        <v>88</v>
      </c>
      <c r="D38" s="63">
        <f>1/2</f>
        <v>0.5</v>
      </c>
      <c r="E38" s="62">
        <v>101.87</v>
      </c>
      <c r="F38" s="63">
        <f>E38*D38</f>
        <v>50.935000000000002</v>
      </c>
    </row>
    <row r="39" spans="1:6" ht="14.25">
      <c r="A39" s="58" t="s">
        <v>456</v>
      </c>
      <c r="B39" s="111" t="s">
        <v>15</v>
      </c>
      <c r="C39" s="213"/>
      <c r="D39" s="127"/>
      <c r="E39" s="62"/>
      <c r="F39" s="137">
        <f>F40</f>
        <v>88.47</v>
      </c>
    </row>
    <row r="40" spans="1:6">
      <c r="A40" s="50" t="s">
        <v>457</v>
      </c>
      <c r="B40" s="33" t="s">
        <v>251</v>
      </c>
      <c r="C40" s="47" t="s">
        <v>88</v>
      </c>
      <c r="D40" s="63">
        <f>1/2</f>
        <v>0.5</v>
      </c>
      <c r="E40" s="62">
        <v>176.94</v>
      </c>
      <c r="F40" s="63">
        <f>E40*D40</f>
        <v>88.47</v>
      </c>
    </row>
    <row r="41" spans="1:6">
      <c r="A41" s="96"/>
      <c r="B41" s="33" t="s">
        <v>264</v>
      </c>
      <c r="C41" s="55"/>
      <c r="D41" s="49"/>
      <c r="E41" s="62"/>
      <c r="F41" s="63"/>
    </row>
    <row r="42" spans="1:6" ht="14.25">
      <c r="A42" s="58" t="s">
        <v>461</v>
      </c>
      <c r="B42" s="111" t="s">
        <v>16</v>
      </c>
      <c r="C42" s="213"/>
      <c r="D42" s="127"/>
      <c r="E42" s="62"/>
      <c r="F42" s="137">
        <f>F44</f>
        <v>28.193333333333332</v>
      </c>
    </row>
    <row r="43" spans="1:6">
      <c r="A43" s="50" t="s">
        <v>462</v>
      </c>
      <c r="B43" s="33" t="s">
        <v>265</v>
      </c>
      <c r="C43" s="47"/>
      <c r="D43" s="130"/>
      <c r="E43" s="62"/>
      <c r="F43" s="63"/>
    </row>
    <row r="44" spans="1:6">
      <c r="A44" s="96"/>
      <c r="B44" s="33" t="s">
        <v>252</v>
      </c>
      <c r="C44" s="47" t="s">
        <v>88</v>
      </c>
      <c r="D44" s="130">
        <f>2/3</f>
        <v>0.66666666666666663</v>
      </c>
      <c r="E44" s="62">
        <v>42.29</v>
      </c>
      <c r="F44" s="63">
        <f>E44*D44</f>
        <v>28.193333333333332</v>
      </c>
    </row>
    <row r="45" spans="1:6" ht="14.25">
      <c r="A45" s="58" t="s">
        <v>468</v>
      </c>
      <c r="B45" s="111" t="s">
        <v>17</v>
      </c>
      <c r="C45" s="213"/>
      <c r="D45" s="127"/>
      <c r="E45" s="62"/>
      <c r="F45" s="137">
        <f>F46</f>
        <v>407.05</v>
      </c>
    </row>
    <row r="46" spans="1:6">
      <c r="A46" s="50" t="s">
        <v>489</v>
      </c>
      <c r="B46" s="33" t="s">
        <v>579</v>
      </c>
      <c r="C46" s="47" t="s">
        <v>335</v>
      </c>
      <c r="D46" s="99">
        <f>1/1</f>
        <v>1</v>
      </c>
      <c r="E46" s="62">
        <v>407.05</v>
      </c>
      <c r="F46" s="63">
        <f>E46*D46</f>
        <v>407.05</v>
      </c>
    </row>
    <row r="47" spans="1:6" ht="14.25">
      <c r="A47" s="58" t="s">
        <v>469</v>
      </c>
      <c r="B47" s="111" t="s">
        <v>18</v>
      </c>
      <c r="C47" s="213"/>
      <c r="D47" s="215"/>
      <c r="E47" s="62"/>
      <c r="F47" s="137">
        <f>F48</f>
        <v>347.11</v>
      </c>
    </row>
    <row r="48" spans="1:6">
      <c r="A48" s="50" t="s">
        <v>470</v>
      </c>
      <c r="B48" s="33" t="s">
        <v>255</v>
      </c>
      <c r="C48" s="47" t="s">
        <v>335</v>
      </c>
      <c r="D48" s="99">
        <f>1/1</f>
        <v>1</v>
      </c>
      <c r="E48" s="62">
        <v>347.11</v>
      </c>
      <c r="F48" s="63">
        <f>E48*D48</f>
        <v>347.11</v>
      </c>
    </row>
    <row r="49" spans="1:6" ht="14.25">
      <c r="A49" s="58" t="s">
        <v>472</v>
      </c>
      <c r="B49" s="111" t="s">
        <v>19</v>
      </c>
      <c r="C49" s="213"/>
      <c r="D49" s="215"/>
      <c r="E49" s="62"/>
      <c r="F49" s="137">
        <f>F50</f>
        <v>281.74</v>
      </c>
    </row>
    <row r="50" spans="1:6">
      <c r="A50" s="50" t="s">
        <v>526</v>
      </c>
      <c r="B50" s="33" t="s">
        <v>26</v>
      </c>
      <c r="C50" s="47" t="s">
        <v>335</v>
      </c>
      <c r="D50" s="99">
        <f>1/1</f>
        <v>1</v>
      </c>
      <c r="E50" s="62">
        <v>281.74</v>
      </c>
      <c r="F50" s="63">
        <f>E50*D50</f>
        <v>281.74</v>
      </c>
    </row>
    <row r="51" spans="1:6" ht="14.25">
      <c r="A51" s="58" t="s">
        <v>473</v>
      </c>
      <c r="B51" s="111" t="s">
        <v>29</v>
      </c>
      <c r="C51" s="47" t="s">
        <v>335</v>
      </c>
      <c r="D51" s="99">
        <f>1/1</f>
        <v>1</v>
      </c>
      <c r="E51" s="62">
        <v>131.61000000000001</v>
      </c>
      <c r="F51" s="137">
        <f>E51*D51</f>
        <v>131.61000000000001</v>
      </c>
    </row>
    <row r="52" spans="1:6" ht="14.25">
      <c r="A52" s="58" t="s">
        <v>474</v>
      </c>
      <c r="B52" s="94" t="s">
        <v>256</v>
      </c>
      <c r="C52" s="47" t="s">
        <v>335</v>
      </c>
      <c r="D52" s="99">
        <f>1/1</f>
        <v>1</v>
      </c>
      <c r="E52" s="62">
        <v>172.13</v>
      </c>
      <c r="F52" s="216">
        <f>E52*D52</f>
        <v>172.13</v>
      </c>
    </row>
    <row r="53" spans="1:6" ht="14.25">
      <c r="A53" s="217"/>
      <c r="B53" s="218" t="s">
        <v>300</v>
      </c>
      <c r="C53" s="177"/>
      <c r="D53" s="219"/>
      <c r="E53" s="150"/>
      <c r="F53" s="336">
        <f>загальнос!$F$82</f>
        <v>2464.5653576904142</v>
      </c>
    </row>
    <row r="54" spans="1:6" ht="15.75">
      <c r="A54" s="220" t="s">
        <v>374</v>
      </c>
      <c r="B54" s="221"/>
      <c r="C54" s="33"/>
      <c r="D54" s="33"/>
      <c r="E54" s="33"/>
      <c r="F54" s="173">
        <f>F53+F13</f>
        <v>6637.6579707856517</v>
      </c>
    </row>
    <row r="55" spans="1:6" ht="15.75">
      <c r="A55" s="73" t="s">
        <v>375</v>
      </c>
      <c r="B55" s="74"/>
      <c r="C55" s="75"/>
      <c r="D55" s="75"/>
      <c r="E55" s="75"/>
      <c r="F55" s="175">
        <f>F54/12</f>
        <v>553.13816423213768</v>
      </c>
    </row>
    <row r="56" spans="1:6">
      <c r="E56" s="17"/>
    </row>
  </sheetData>
  <mergeCells count="2">
    <mergeCell ref="A1:F1"/>
    <mergeCell ref="A2:F2"/>
  </mergeCells>
  <phoneticPr fontId="30" type="noConversion"/>
  <pageMargins left="0.6" right="0.28000000000000003" top="0.72" bottom="0.28999999999999998" header="0.38" footer="0.5"/>
  <pageSetup paperSize="9" orientation="portrait" horizontalDpi="360" verticalDpi="360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A58"/>
  <sheetViews>
    <sheetView topLeftCell="A16" zoomScale="75" workbookViewId="0">
      <selection activeCell="F55" sqref="F55:F57"/>
    </sheetView>
  </sheetViews>
  <sheetFormatPr defaultRowHeight="12.75"/>
  <cols>
    <col min="1" max="1" width="5.85546875" style="24" customWidth="1"/>
    <col min="2" max="2" width="41.140625" customWidth="1"/>
    <col min="3" max="3" width="8.140625" customWidth="1"/>
    <col min="4" max="4" width="18.28515625" customWidth="1"/>
    <col min="5" max="5" width="10.140625" customWidth="1"/>
    <col min="6" max="6" width="12.85546875" customWidth="1"/>
    <col min="7" max="7" width="20.5703125" customWidth="1"/>
    <col min="8" max="8" width="5" customWidth="1"/>
    <col min="9" max="9" width="37.140625" customWidth="1"/>
    <col min="10" max="10" width="10.5703125" customWidth="1"/>
    <col min="11" max="11" width="15.42578125" customWidth="1"/>
    <col min="12" max="12" width="10.42578125" customWidth="1"/>
    <col min="13" max="13" width="16.42578125" customWidth="1"/>
    <col min="15" max="15" width="4.140625" customWidth="1"/>
    <col min="16" max="16" width="58.42578125" customWidth="1"/>
    <col min="17" max="17" width="13.28515625" customWidth="1"/>
    <col min="18" max="18" width="17.85546875" customWidth="1"/>
    <col min="19" max="19" width="10.28515625" customWidth="1"/>
    <col min="20" max="20" width="5.7109375" customWidth="1"/>
    <col min="21" max="21" width="50.28515625" customWidth="1"/>
    <col min="22" max="22" width="12.140625" customWidth="1"/>
    <col min="23" max="23" width="19.28515625" customWidth="1"/>
    <col min="25" max="25" width="5.85546875" customWidth="1"/>
    <col min="26" max="26" width="32.5703125" customWidth="1"/>
    <col min="27" max="27" width="17.28515625" customWidth="1"/>
    <col min="28" max="28" width="17.5703125" customWidth="1"/>
    <col min="30" max="30" width="4.85546875" customWidth="1"/>
    <col min="31" max="31" width="45.5703125" customWidth="1"/>
    <col min="32" max="32" width="15.28515625" customWidth="1"/>
    <col min="33" max="33" width="15.42578125" customWidth="1"/>
    <col min="35" max="35" width="5.5703125" customWidth="1"/>
    <col min="36" max="36" width="45.42578125" customWidth="1"/>
    <col min="37" max="37" width="10.85546875" customWidth="1"/>
    <col min="38" max="38" width="16.42578125" customWidth="1"/>
  </cols>
  <sheetData>
    <row r="1" spans="1:7" ht="14.25">
      <c r="A1" s="416" t="s">
        <v>418</v>
      </c>
      <c r="B1" s="416"/>
      <c r="C1" s="416"/>
      <c r="D1" s="416"/>
      <c r="E1" s="416"/>
      <c r="F1" s="416"/>
    </row>
    <row r="2" spans="1:7" ht="14.25">
      <c r="A2" s="417" t="s">
        <v>323</v>
      </c>
      <c r="B2" s="417"/>
      <c r="C2" s="417"/>
      <c r="D2" s="417"/>
      <c r="E2" s="417"/>
      <c r="F2" s="417"/>
    </row>
    <row r="3" spans="1:7">
      <c r="A3" s="222" t="s">
        <v>42</v>
      </c>
      <c r="B3" s="223"/>
      <c r="C3" s="80" t="s">
        <v>92</v>
      </c>
      <c r="D3" s="54" t="s">
        <v>238</v>
      </c>
      <c r="E3" s="82" t="s">
        <v>184</v>
      </c>
      <c r="F3" s="80" t="s">
        <v>107</v>
      </c>
    </row>
    <row r="4" spans="1:7">
      <c r="A4" s="222" t="s">
        <v>373</v>
      </c>
      <c r="B4" s="224" t="s">
        <v>309</v>
      </c>
      <c r="C4" s="80" t="s">
        <v>81</v>
      </c>
      <c r="D4" s="54" t="s">
        <v>240</v>
      </c>
      <c r="E4" s="80" t="s">
        <v>239</v>
      </c>
      <c r="F4" s="80" t="s">
        <v>105</v>
      </c>
    </row>
    <row r="5" spans="1:7">
      <c r="A5" s="225"/>
      <c r="B5" s="224" t="s">
        <v>112</v>
      </c>
      <c r="C5" s="80"/>
      <c r="D5" s="54" t="s">
        <v>241</v>
      </c>
      <c r="E5" s="80" t="s">
        <v>95</v>
      </c>
      <c r="F5" s="80"/>
    </row>
    <row r="6" spans="1:7">
      <c r="A6" s="225"/>
      <c r="B6" s="226"/>
      <c r="C6" s="80"/>
      <c r="D6" s="54" t="s">
        <v>314</v>
      </c>
      <c r="E6" s="80" t="s">
        <v>671</v>
      </c>
      <c r="F6" s="80"/>
    </row>
    <row r="7" spans="1:7">
      <c r="A7" s="225"/>
      <c r="B7" s="227"/>
      <c r="C7" s="80"/>
      <c r="D7" s="54" t="s">
        <v>242</v>
      </c>
      <c r="E7" s="80" t="s">
        <v>669</v>
      </c>
      <c r="F7" s="80"/>
    </row>
    <row r="8" spans="1:7" ht="15">
      <c r="A8" s="225"/>
      <c r="B8" s="227"/>
      <c r="C8" s="80"/>
      <c r="D8" s="54" t="s">
        <v>243</v>
      </c>
      <c r="E8" s="85"/>
      <c r="F8" s="80"/>
      <c r="G8" s="18" t="s">
        <v>630</v>
      </c>
    </row>
    <row r="9" spans="1:7" ht="13.5" customHeight="1">
      <c r="A9" s="225"/>
      <c r="B9" s="227"/>
      <c r="C9" s="80"/>
      <c r="D9" s="228">
        <v>51.4</v>
      </c>
      <c r="E9" s="85"/>
      <c r="F9" s="80"/>
      <c r="G9" s="18">
        <v>1</v>
      </c>
    </row>
    <row r="10" spans="1:7" ht="12.75" customHeight="1">
      <c r="A10" s="229"/>
      <c r="B10" s="230"/>
      <c r="C10" s="124"/>
      <c r="D10" s="231">
        <v>48.6</v>
      </c>
      <c r="E10" s="278" t="s">
        <v>660</v>
      </c>
      <c r="F10" s="124" t="s">
        <v>660</v>
      </c>
    </row>
    <row r="11" spans="1:7" ht="14.25">
      <c r="A11" s="50"/>
      <c r="B11" s="232" t="s">
        <v>301</v>
      </c>
      <c r="C11" s="79"/>
      <c r="D11" s="48"/>
      <c r="E11" s="49"/>
      <c r="F11" s="128">
        <f>F12+F14+F17+F27+F31+F35+F38+F41+F43+F45+F48+F49+F50</f>
        <v>4791.6900333333324</v>
      </c>
    </row>
    <row r="12" spans="1:7" ht="14.25">
      <c r="A12" s="58">
        <v>1</v>
      </c>
      <c r="B12" s="233" t="s">
        <v>10</v>
      </c>
      <c r="C12" s="234"/>
      <c r="D12" s="235"/>
      <c r="E12" s="137"/>
      <c r="F12" s="128">
        <f>F13</f>
        <v>381.27666666666664</v>
      </c>
    </row>
    <row r="13" spans="1:7">
      <c r="A13" s="50" t="s">
        <v>427</v>
      </c>
      <c r="B13" s="236" t="s">
        <v>580</v>
      </c>
      <c r="C13" s="77" t="s">
        <v>88</v>
      </c>
      <c r="D13" s="237">
        <f>1/3</f>
        <v>0.33333333333333331</v>
      </c>
      <c r="E13" s="63">
        <v>1143.83</v>
      </c>
      <c r="F13" s="63">
        <f>E13*D13</f>
        <v>381.27666666666664</v>
      </c>
    </row>
    <row r="14" spans="1:7" ht="14.25">
      <c r="A14" s="58" t="s">
        <v>438</v>
      </c>
      <c r="B14" s="233" t="s">
        <v>581</v>
      </c>
      <c r="C14" s="167"/>
      <c r="D14" s="237"/>
      <c r="E14" s="63"/>
      <c r="F14" s="128">
        <f>F15</f>
        <v>381.27666666666664</v>
      </c>
    </row>
    <row r="15" spans="1:7">
      <c r="A15" s="50" t="s">
        <v>497</v>
      </c>
      <c r="B15" s="236" t="s">
        <v>582</v>
      </c>
      <c r="C15" s="77" t="s">
        <v>88</v>
      </c>
      <c r="D15" s="237">
        <f>1/3</f>
        <v>0.33333333333333331</v>
      </c>
      <c r="E15" s="63">
        <v>1143.83</v>
      </c>
      <c r="F15" s="63">
        <f>E15*D15</f>
        <v>381.27666666666664</v>
      </c>
    </row>
    <row r="16" spans="1:7">
      <c r="A16" s="50"/>
      <c r="B16" s="236" t="s">
        <v>346</v>
      </c>
      <c r="C16" s="77"/>
      <c r="D16" s="237"/>
      <c r="E16" s="63"/>
      <c r="F16" s="63"/>
    </row>
    <row r="17" spans="1:79" ht="14.25">
      <c r="A17" s="58" t="s">
        <v>439</v>
      </c>
      <c r="B17" s="233" t="s">
        <v>20</v>
      </c>
      <c r="C17" s="167"/>
      <c r="D17" s="237"/>
      <c r="E17" s="63"/>
      <c r="F17" s="128">
        <f>F18+F19+F20+F21+F23+F24+F25+F26</f>
        <v>1183.9490866666667</v>
      </c>
    </row>
    <row r="18" spans="1:79">
      <c r="A18" s="50" t="s">
        <v>481</v>
      </c>
      <c r="B18" s="236" t="s">
        <v>245</v>
      </c>
      <c r="C18" s="77" t="s">
        <v>88</v>
      </c>
      <c r="D18" s="237">
        <f>1/2*$D$10/100</f>
        <v>0.24299999999999999</v>
      </c>
      <c r="E18" s="63">
        <v>466.12</v>
      </c>
      <c r="F18" s="63">
        <f>E18*D18</f>
        <v>113.26716</v>
      </c>
    </row>
    <row r="19" spans="1:79">
      <c r="A19" s="50" t="s">
        <v>482</v>
      </c>
      <c r="B19" s="236" t="s">
        <v>341</v>
      </c>
      <c r="C19" s="77" t="s">
        <v>88</v>
      </c>
      <c r="D19" s="130">
        <f>1/3*$D$10/100</f>
        <v>0.16200000000000001</v>
      </c>
      <c r="E19" s="63">
        <v>316.35000000000002</v>
      </c>
      <c r="F19" s="63">
        <f>E19*D19</f>
        <v>51.248700000000007</v>
      </c>
    </row>
    <row r="20" spans="1:79" s="4" customFormat="1" ht="15">
      <c r="A20" s="50" t="s">
        <v>483</v>
      </c>
      <c r="B20" s="236" t="s">
        <v>583</v>
      </c>
      <c r="C20" s="77" t="s">
        <v>88</v>
      </c>
      <c r="D20" s="130">
        <f>1/4*$D$10/100</f>
        <v>0.1215</v>
      </c>
      <c r="E20" s="63">
        <v>209.48</v>
      </c>
      <c r="F20" s="63">
        <f>E20*D20</f>
        <v>25.451819999999998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s="4" customFormat="1" ht="15">
      <c r="A21" s="50" t="s">
        <v>484</v>
      </c>
      <c r="B21" s="236" t="s">
        <v>246</v>
      </c>
      <c r="C21" s="77" t="s">
        <v>88</v>
      </c>
      <c r="D21" s="130">
        <f>3/3*$D$9/100</f>
        <v>0.51400000000000001</v>
      </c>
      <c r="E21" s="63">
        <v>281.42</v>
      </c>
      <c r="F21" s="63">
        <f>E21*D21</f>
        <v>144.64988000000002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>
      <c r="A22" s="50"/>
      <c r="B22" s="236" t="s">
        <v>606</v>
      </c>
      <c r="C22" s="77"/>
      <c r="D22" s="130"/>
      <c r="E22" s="63"/>
      <c r="F22" s="63"/>
    </row>
    <row r="23" spans="1:79">
      <c r="A23" s="50" t="s">
        <v>485</v>
      </c>
      <c r="B23" s="236" t="s">
        <v>247</v>
      </c>
      <c r="C23" s="77" t="s">
        <v>88</v>
      </c>
      <c r="D23" s="130">
        <f>1/1.5</f>
        <v>0.66666666666666663</v>
      </c>
      <c r="E23" s="63">
        <v>645.13</v>
      </c>
      <c r="F23" s="63">
        <f>E23*D23</f>
        <v>430.08666666666664</v>
      </c>
    </row>
    <row r="24" spans="1:79">
      <c r="A24" s="50" t="s">
        <v>486</v>
      </c>
      <c r="B24" s="236" t="s">
        <v>23</v>
      </c>
      <c r="C24" s="77" t="s">
        <v>88</v>
      </c>
      <c r="D24" s="130">
        <f>1/2*$D$9/100</f>
        <v>0.25700000000000001</v>
      </c>
      <c r="E24" s="63">
        <v>439.98</v>
      </c>
      <c r="F24" s="63">
        <f>E24*D24</f>
        <v>113.07486</v>
      </c>
    </row>
    <row r="25" spans="1:79">
      <c r="A25" s="50" t="s">
        <v>503</v>
      </c>
      <c r="B25" s="236" t="s">
        <v>376</v>
      </c>
      <c r="C25" s="77" t="s">
        <v>88</v>
      </c>
      <c r="D25" s="130">
        <f>1/3</f>
        <v>0.33333333333333331</v>
      </c>
      <c r="E25" s="63">
        <v>366.27</v>
      </c>
      <c r="F25" s="63">
        <f>E25*D25</f>
        <v>122.08999999999999</v>
      </c>
    </row>
    <row r="26" spans="1:79">
      <c r="A26" s="50" t="s">
        <v>504</v>
      </c>
      <c r="B26" s="236" t="s">
        <v>11</v>
      </c>
      <c r="C26" s="77" t="s">
        <v>88</v>
      </c>
      <c r="D26" s="63">
        <f>1/2</f>
        <v>0.5</v>
      </c>
      <c r="E26" s="63">
        <v>368.16</v>
      </c>
      <c r="F26" s="63">
        <f>E26*D26</f>
        <v>184.08</v>
      </c>
    </row>
    <row r="27" spans="1:79" ht="14.25">
      <c r="A27" s="97" t="s">
        <v>440</v>
      </c>
      <c r="B27" s="69" t="s">
        <v>12</v>
      </c>
      <c r="C27" s="163"/>
      <c r="D27" s="130"/>
      <c r="E27" s="63"/>
      <c r="F27" s="128">
        <f>F28+F29+F30</f>
        <v>448.47900000000004</v>
      </c>
    </row>
    <row r="28" spans="1:79">
      <c r="A28" s="50" t="s">
        <v>441</v>
      </c>
      <c r="B28" s="36" t="s">
        <v>13</v>
      </c>
      <c r="C28" s="47" t="s">
        <v>88</v>
      </c>
      <c r="D28" s="63">
        <f>5/2</f>
        <v>2.5</v>
      </c>
      <c r="E28" s="63">
        <v>39.72</v>
      </c>
      <c r="F28" s="63">
        <f>E28*D28</f>
        <v>99.3</v>
      </c>
    </row>
    <row r="29" spans="1:79">
      <c r="A29" s="50" t="s">
        <v>442</v>
      </c>
      <c r="B29" s="36" t="s">
        <v>578</v>
      </c>
      <c r="C29" s="47" t="s">
        <v>88</v>
      </c>
      <c r="D29" s="63">
        <f>5/2</f>
        <v>2.5</v>
      </c>
      <c r="E29" s="63">
        <v>130.55000000000001</v>
      </c>
      <c r="F29" s="63">
        <f>E29*D29</f>
        <v>326.375</v>
      </c>
    </row>
    <row r="30" spans="1:79">
      <c r="A30" s="50" t="s">
        <v>443</v>
      </c>
      <c r="B30" s="36" t="s">
        <v>248</v>
      </c>
      <c r="C30" s="47" t="s">
        <v>88</v>
      </c>
      <c r="D30" s="63">
        <f>1/5</f>
        <v>0.2</v>
      </c>
      <c r="E30" s="63">
        <v>114.02</v>
      </c>
      <c r="F30" s="63">
        <f>E30*D30</f>
        <v>22.804000000000002</v>
      </c>
    </row>
    <row r="31" spans="1:79" ht="14.25">
      <c r="A31" s="58" t="s">
        <v>448</v>
      </c>
      <c r="B31" s="233" t="s">
        <v>14</v>
      </c>
      <c r="C31" s="167"/>
      <c r="D31" s="130"/>
      <c r="E31" s="63"/>
      <c r="F31" s="128">
        <f>F32+F33+F34</f>
        <v>105.82694666666667</v>
      </c>
    </row>
    <row r="32" spans="1:79">
      <c r="A32" s="50" t="s">
        <v>449</v>
      </c>
      <c r="B32" s="236" t="s">
        <v>249</v>
      </c>
      <c r="C32" s="77" t="s">
        <v>88</v>
      </c>
      <c r="D32" s="130">
        <f>3/2*$D$9/100</f>
        <v>0.77099999999999991</v>
      </c>
      <c r="E32" s="63">
        <v>17.14</v>
      </c>
      <c r="F32" s="63">
        <f>E32*D32</f>
        <v>13.214939999999999</v>
      </c>
    </row>
    <row r="33" spans="1:6">
      <c r="A33" s="50" t="s">
        <v>450</v>
      </c>
      <c r="B33" s="236" t="s">
        <v>250</v>
      </c>
      <c r="C33" s="77" t="s">
        <v>88</v>
      </c>
      <c r="D33" s="130">
        <f>3/2*$D$10/100</f>
        <v>0.72900000000000009</v>
      </c>
      <c r="E33" s="63">
        <v>80.459999999999994</v>
      </c>
      <c r="F33" s="63">
        <f>E33*D33</f>
        <v>58.655340000000002</v>
      </c>
    </row>
    <row r="34" spans="1:6">
      <c r="A34" s="50" t="s">
        <v>451</v>
      </c>
      <c r="B34" s="236" t="s">
        <v>227</v>
      </c>
      <c r="C34" s="77" t="s">
        <v>88</v>
      </c>
      <c r="D34" s="130">
        <f>1/3</f>
        <v>0.33333333333333331</v>
      </c>
      <c r="E34" s="63">
        <v>101.87</v>
      </c>
      <c r="F34" s="63">
        <f>E34*D34</f>
        <v>33.956666666666663</v>
      </c>
    </row>
    <row r="35" spans="1:6" ht="14.25">
      <c r="A35" s="58" t="s">
        <v>455</v>
      </c>
      <c r="B35" s="233" t="s">
        <v>15</v>
      </c>
      <c r="C35" s="167"/>
      <c r="D35" s="130"/>
      <c r="E35" s="63"/>
      <c r="F35" s="128">
        <f>F36</f>
        <v>58.98</v>
      </c>
    </row>
    <row r="36" spans="1:6">
      <c r="A36" s="50" t="s">
        <v>516</v>
      </c>
      <c r="B36" s="236" t="s">
        <v>251</v>
      </c>
      <c r="C36" s="77" t="s">
        <v>88</v>
      </c>
      <c r="D36" s="130">
        <f>1/3</f>
        <v>0.33333333333333331</v>
      </c>
      <c r="E36" s="63">
        <v>176.94</v>
      </c>
      <c r="F36" s="63">
        <f>E36*D36</f>
        <v>58.98</v>
      </c>
    </row>
    <row r="37" spans="1:6">
      <c r="A37" s="96"/>
      <c r="B37" s="36" t="s">
        <v>264</v>
      </c>
      <c r="C37" s="141"/>
      <c r="D37" s="130"/>
      <c r="E37" s="63"/>
      <c r="F37" s="63"/>
    </row>
    <row r="38" spans="1:6" ht="14.25">
      <c r="A38" s="58" t="s">
        <v>456</v>
      </c>
      <c r="B38" s="111" t="s">
        <v>16</v>
      </c>
      <c r="C38" s="213"/>
      <c r="D38" s="238"/>
      <c r="E38" s="63"/>
      <c r="F38" s="128">
        <f>F39</f>
        <v>14.096666666666666</v>
      </c>
    </row>
    <row r="39" spans="1:6">
      <c r="A39" s="50" t="s">
        <v>457</v>
      </c>
      <c r="B39" s="33" t="s">
        <v>253</v>
      </c>
      <c r="C39" s="47" t="s">
        <v>88</v>
      </c>
      <c r="D39" s="238">
        <f>1/3</f>
        <v>0.33333333333333331</v>
      </c>
      <c r="E39" s="63">
        <v>42.29</v>
      </c>
      <c r="F39" s="63">
        <f>E39*D39</f>
        <v>14.096666666666666</v>
      </c>
    </row>
    <row r="40" spans="1:6">
      <c r="A40" s="96"/>
      <c r="B40" s="36" t="s">
        <v>252</v>
      </c>
      <c r="C40" s="141"/>
      <c r="D40" s="237"/>
      <c r="E40" s="63"/>
      <c r="F40" s="63"/>
    </row>
    <row r="41" spans="1:6" ht="14.25">
      <c r="A41" s="58" t="s">
        <v>461</v>
      </c>
      <c r="B41" s="233" t="s">
        <v>17</v>
      </c>
      <c r="C41" s="167"/>
      <c r="D41" s="237"/>
      <c r="E41" s="63"/>
      <c r="F41" s="128">
        <f>F42</f>
        <v>568</v>
      </c>
    </row>
    <row r="42" spans="1:6">
      <c r="A42" s="50" t="s">
        <v>462</v>
      </c>
      <c r="B42" s="236" t="s">
        <v>254</v>
      </c>
      <c r="C42" s="77" t="s">
        <v>335</v>
      </c>
      <c r="D42" s="170">
        <f>1/2</f>
        <v>0.5</v>
      </c>
      <c r="E42" s="63">
        <v>1136</v>
      </c>
      <c r="F42" s="63">
        <f>E42*D42</f>
        <v>568</v>
      </c>
    </row>
    <row r="43" spans="1:6" ht="14.25">
      <c r="A43" s="58" t="s">
        <v>468</v>
      </c>
      <c r="B43" s="233" t="s">
        <v>18</v>
      </c>
      <c r="C43" s="77"/>
      <c r="D43" s="239"/>
      <c r="E43" s="63"/>
      <c r="F43" s="128">
        <f>F44</f>
        <v>214.62</v>
      </c>
    </row>
    <row r="44" spans="1:6">
      <c r="A44" s="50" t="s">
        <v>489</v>
      </c>
      <c r="B44" s="236" t="s">
        <v>255</v>
      </c>
      <c r="C44" s="77" t="s">
        <v>335</v>
      </c>
      <c r="D44" s="170">
        <f>1/2</f>
        <v>0.5</v>
      </c>
      <c r="E44" s="63">
        <v>429.24</v>
      </c>
      <c r="F44" s="63">
        <f>E44*D44</f>
        <v>214.62</v>
      </c>
    </row>
    <row r="45" spans="1:6" ht="14.25">
      <c r="A45" s="58" t="s">
        <v>469</v>
      </c>
      <c r="B45" s="233" t="s">
        <v>19</v>
      </c>
      <c r="C45" s="77"/>
      <c r="D45" s="170"/>
      <c r="E45" s="63"/>
      <c r="F45" s="128">
        <f>F46+F47</f>
        <v>702.17000000000007</v>
      </c>
    </row>
    <row r="46" spans="1:6">
      <c r="A46" s="50" t="s">
        <v>470</v>
      </c>
      <c r="B46" s="236" t="s">
        <v>584</v>
      </c>
      <c r="C46" s="77" t="s">
        <v>335</v>
      </c>
      <c r="D46" s="170">
        <f>1/2</f>
        <v>0.5</v>
      </c>
      <c r="E46" s="63">
        <v>674.85</v>
      </c>
      <c r="F46" s="63">
        <f>E46*D46</f>
        <v>337.42500000000001</v>
      </c>
    </row>
    <row r="47" spans="1:6">
      <c r="A47" s="96" t="s">
        <v>471</v>
      </c>
      <c r="B47" s="36" t="s">
        <v>26</v>
      </c>
      <c r="C47" s="47" t="s">
        <v>335</v>
      </c>
      <c r="D47" s="170">
        <f>1/2</f>
        <v>0.5</v>
      </c>
      <c r="E47" s="63">
        <v>729.49</v>
      </c>
      <c r="F47" s="63">
        <f>E47*D47</f>
        <v>364.745</v>
      </c>
    </row>
    <row r="48" spans="1:6" ht="14.25">
      <c r="A48" s="58" t="s">
        <v>472</v>
      </c>
      <c r="B48" s="111" t="s">
        <v>29</v>
      </c>
      <c r="C48" s="47" t="s">
        <v>335</v>
      </c>
      <c r="D48" s="170">
        <f>1/2</f>
        <v>0.5</v>
      </c>
      <c r="E48" s="63">
        <v>131.61000000000001</v>
      </c>
      <c r="F48" s="128">
        <f>E48*D48</f>
        <v>65.805000000000007</v>
      </c>
    </row>
    <row r="49" spans="1:6" ht="14.25">
      <c r="A49" s="58" t="s">
        <v>473</v>
      </c>
      <c r="B49" s="111" t="s">
        <v>256</v>
      </c>
      <c r="C49" s="47" t="s">
        <v>335</v>
      </c>
      <c r="D49" s="63">
        <f>1/2</f>
        <v>0.5</v>
      </c>
      <c r="E49" s="63">
        <v>172.13</v>
      </c>
      <c r="F49" s="128">
        <f>E49*D49</f>
        <v>86.064999999999998</v>
      </c>
    </row>
    <row r="50" spans="1:6" ht="14.25">
      <c r="A50" s="58" t="s">
        <v>474</v>
      </c>
      <c r="B50" s="69" t="s">
        <v>585</v>
      </c>
      <c r="C50" s="141"/>
      <c r="D50" s="130"/>
      <c r="E50" s="63"/>
      <c r="F50" s="128">
        <f>F51+F52+F53+F54</f>
        <v>581.14499999999998</v>
      </c>
    </row>
    <row r="51" spans="1:6">
      <c r="A51" s="96" t="s">
        <v>527</v>
      </c>
      <c r="B51" s="36" t="s">
        <v>586</v>
      </c>
      <c r="C51" s="47" t="s">
        <v>88</v>
      </c>
      <c r="D51" s="63">
        <f>1/2</f>
        <v>0.5</v>
      </c>
      <c r="E51" s="63">
        <v>288.13</v>
      </c>
      <c r="F51" s="63">
        <f>E51*D51</f>
        <v>144.065</v>
      </c>
    </row>
    <row r="52" spans="1:6">
      <c r="A52" s="96" t="s">
        <v>528</v>
      </c>
      <c r="B52" s="36" t="s">
        <v>587</v>
      </c>
      <c r="C52" s="47" t="s">
        <v>88</v>
      </c>
      <c r="D52" s="99">
        <f>50/1</f>
        <v>50</v>
      </c>
      <c r="E52" s="63">
        <v>4.9000000000000004</v>
      </c>
      <c r="F52" s="63">
        <f>E52*D52</f>
        <v>245.00000000000003</v>
      </c>
    </row>
    <row r="53" spans="1:6">
      <c r="A53" s="96" t="s">
        <v>529</v>
      </c>
      <c r="B53" s="55" t="s">
        <v>588</v>
      </c>
      <c r="C53" s="47" t="s">
        <v>88</v>
      </c>
      <c r="D53" s="99">
        <f>10/1</f>
        <v>10</v>
      </c>
      <c r="E53" s="63">
        <v>6.32</v>
      </c>
      <c r="F53" s="63">
        <f>E53*D53</f>
        <v>63.2</v>
      </c>
    </row>
    <row r="54" spans="1:6">
      <c r="A54" s="96" t="s">
        <v>530</v>
      </c>
      <c r="B54" s="55" t="s">
        <v>589</v>
      </c>
      <c r="C54" s="47" t="s">
        <v>88</v>
      </c>
      <c r="D54" s="99">
        <f>2/1</f>
        <v>2</v>
      </c>
      <c r="E54" s="63">
        <v>64.44</v>
      </c>
      <c r="F54" s="63">
        <f>E54*D54</f>
        <v>128.88</v>
      </c>
    </row>
    <row r="55" spans="1:6" ht="15">
      <c r="A55" s="240"/>
      <c r="B55" s="218" t="s">
        <v>299</v>
      </c>
      <c r="C55" s="241"/>
      <c r="D55" s="241"/>
      <c r="E55" s="241"/>
      <c r="F55" s="336">
        <f>загальнос!$F$82</f>
        <v>2464.5653576904142</v>
      </c>
    </row>
    <row r="56" spans="1:6" ht="15">
      <c r="A56" s="66" t="s">
        <v>374</v>
      </c>
      <c r="B56" s="214"/>
      <c r="C56" s="214"/>
      <c r="D56" s="214"/>
      <c r="E56" s="214"/>
      <c r="F56" s="173">
        <f>F55+F11</f>
        <v>7256.2553910237466</v>
      </c>
    </row>
    <row r="57" spans="1:6" ht="15">
      <c r="A57" s="114" t="s">
        <v>375</v>
      </c>
      <c r="B57" s="242"/>
      <c r="C57" s="242"/>
      <c r="D57" s="242"/>
      <c r="E57" s="242"/>
      <c r="F57" s="175">
        <f>F56/12</f>
        <v>604.68794925197892</v>
      </c>
    </row>
    <row r="58" spans="1:6" ht="14.25">
      <c r="A58" s="25"/>
      <c r="B58" s="12"/>
      <c r="C58" s="12"/>
      <c r="D58" s="12"/>
      <c r="E58" s="12"/>
      <c r="F58" s="12"/>
    </row>
  </sheetData>
  <mergeCells count="2">
    <mergeCell ref="A1:F1"/>
    <mergeCell ref="A2:F2"/>
  </mergeCells>
  <phoneticPr fontId="30" type="noConversion"/>
  <pageMargins left="0.51" right="0.28000000000000003" top="0.47" bottom="0.65" header="0.36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прожитковий</vt:lpstr>
      <vt:lpstr>структура 2016</vt:lpstr>
      <vt:lpstr> 06(проди)</vt:lpstr>
      <vt:lpstr>618(проди)</vt:lpstr>
      <vt:lpstr>прац(проди)</vt:lpstr>
      <vt:lpstr>пенс(проди)</vt:lpstr>
      <vt:lpstr>загальнос</vt:lpstr>
      <vt:lpstr>0-6(непроди)</vt:lpstr>
      <vt:lpstr>6-18(непроди)</vt:lpstr>
      <vt:lpstr>прац(непроди)</vt:lpstr>
      <vt:lpstr>пен(непроди)</vt:lpstr>
      <vt:lpstr>газ</vt:lpstr>
      <vt:lpstr>ком(послуги)</vt:lpstr>
      <vt:lpstr>побутові</vt:lpstr>
      <vt:lpstr>транспорт</vt:lpstr>
      <vt:lpstr>'6-18(непроди)'!Область_печати</vt:lpstr>
      <vt:lpstr>'618(проди)'!Область_печати</vt:lpstr>
      <vt:lpstr>газ!Область_печати</vt:lpstr>
      <vt:lpstr>'ком(послуги)'!Область_печати</vt:lpstr>
      <vt:lpstr>'пенс(проди)'!Область_печати</vt:lpstr>
      <vt:lpstr>побутові!Область_печати</vt:lpstr>
      <vt:lpstr>'прац(непроди)'!Область_печати</vt:lpstr>
      <vt:lpstr>'прац(проди)'!Область_печати</vt:lpstr>
      <vt:lpstr>'структура 2016'!Область_печати</vt:lpstr>
      <vt:lpstr>транспорт!Область_печати</vt:lpstr>
    </vt:vector>
  </TitlesOfParts>
  <Company>MTSP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OUSZN</dc:creator>
  <cp:lastModifiedBy>o.p.kirichenko</cp:lastModifiedBy>
  <cp:lastPrinted>2016-05-16T11:54:04Z</cp:lastPrinted>
  <dcterms:created xsi:type="dcterms:W3CDTF">1999-05-27T08:49:02Z</dcterms:created>
  <dcterms:modified xsi:type="dcterms:W3CDTF">2017-02-15T17:03:46Z</dcterms:modified>
</cp:coreProperties>
</file>